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anb/Downloads/"/>
    </mc:Choice>
  </mc:AlternateContent>
  <xr:revisionPtr revIDLastSave="0" documentId="8_{DF166462-D96B-7442-83FE-238A0F573AAE}" xr6:coauthVersionLast="47" xr6:coauthVersionMax="47" xr10:uidLastSave="{00000000-0000-0000-0000-000000000000}"/>
  <bookViews>
    <workbookView xWindow="0" yWindow="3120" windowWidth="32240" windowHeight="16740" activeTab="7" xr2:uid="{B282F8D2-45DC-8E4B-88DC-B37529B6A4B9}"/>
  </bookViews>
  <sheets>
    <sheet name="2023 Season" sheetId="1" r:id="rId1"/>
    <sheet name="Congamond" sheetId="2" r:id="rId2"/>
    <sheet name="Onota" sheetId="3" r:id="rId3"/>
    <sheet name="Pontoosuc" sheetId="4" r:id="rId4"/>
    <sheet name="Lake George" sheetId="5" r:id="rId5"/>
    <sheet name="Lake Champlain" sheetId="6" r:id="rId6"/>
    <sheet name="Buel" sheetId="7" r:id="rId7"/>
    <sheet name="Championship(Saratoga)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" i="1" l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W2" i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V2" i="1"/>
  <c r="V3" i="1"/>
  <c r="V4" i="1"/>
  <c r="V5" i="1"/>
  <c r="V7" i="1"/>
  <c r="V6" i="1"/>
  <c r="V11" i="1"/>
  <c r="V8" i="1"/>
  <c r="V12" i="1"/>
  <c r="V9" i="1"/>
  <c r="V10" i="1"/>
  <c r="V13" i="1"/>
  <c r="V14" i="1"/>
  <c r="V15" i="1"/>
  <c r="V16" i="1"/>
  <c r="V17" i="1"/>
  <c r="V18" i="1"/>
  <c r="V19" i="1"/>
  <c r="U2" i="1"/>
  <c r="U3" i="1"/>
  <c r="U4" i="1"/>
  <c r="U5" i="1"/>
  <c r="U7" i="1"/>
  <c r="U6" i="1"/>
  <c r="U11" i="1"/>
  <c r="U8" i="1"/>
  <c r="U12" i="1"/>
  <c r="U9" i="1"/>
  <c r="U10" i="1"/>
  <c r="U13" i="1"/>
  <c r="U14" i="1"/>
  <c r="U15" i="1"/>
  <c r="U16" i="1"/>
  <c r="U17" i="1"/>
  <c r="U18" i="1"/>
  <c r="U19" i="1"/>
  <c r="T2" i="1"/>
  <c r="T3" i="1"/>
  <c r="T4" i="1"/>
  <c r="T5" i="1"/>
  <c r="T7" i="1"/>
  <c r="T6" i="1"/>
  <c r="T11" i="1"/>
  <c r="T8" i="1"/>
  <c r="T12" i="1"/>
  <c r="T9" i="1"/>
  <c r="T10" i="1"/>
  <c r="T13" i="1"/>
  <c r="T14" i="1"/>
  <c r="T15" i="1"/>
  <c r="T16" i="1"/>
  <c r="T17" i="1"/>
  <c r="T18" i="1"/>
  <c r="T19" i="1"/>
  <c r="S2" i="1"/>
  <c r="S7" i="1"/>
  <c r="S3" i="1"/>
  <c r="S4" i="1"/>
  <c r="S5" i="1"/>
  <c r="S11" i="1"/>
  <c r="S6" i="1"/>
  <c r="S12" i="1"/>
  <c r="S9" i="1"/>
  <c r="S8" i="1"/>
  <c r="S13" i="1"/>
  <c r="S10" i="1"/>
  <c r="S14" i="1"/>
  <c r="S15" i="1"/>
  <c r="S16" i="1"/>
  <c r="S17" i="1"/>
  <c r="S18" i="1"/>
  <c r="S19" i="1"/>
  <c r="R2" i="1"/>
  <c r="R7" i="1"/>
  <c r="R3" i="1"/>
  <c r="R4" i="1"/>
  <c r="R5" i="1"/>
  <c r="R11" i="1"/>
  <c r="R6" i="1"/>
  <c r="R12" i="1"/>
  <c r="R9" i="1"/>
  <c r="R8" i="1"/>
  <c r="R13" i="1"/>
  <c r="R10" i="1"/>
  <c r="R14" i="1"/>
  <c r="R15" i="1"/>
  <c r="R16" i="1"/>
  <c r="R17" i="1"/>
  <c r="R18" i="1"/>
  <c r="R19" i="1"/>
  <c r="Q2" i="1"/>
  <c r="Q7" i="1"/>
  <c r="Q3" i="1"/>
  <c r="Q4" i="1"/>
  <c r="Q5" i="1"/>
  <c r="Q11" i="1"/>
  <c r="Q6" i="1"/>
  <c r="Q12" i="1"/>
  <c r="Q9" i="1"/>
  <c r="Q8" i="1"/>
  <c r="Q13" i="1"/>
  <c r="Q10" i="1"/>
  <c r="Q14" i="1"/>
  <c r="Q15" i="1"/>
  <c r="Q16" i="1"/>
  <c r="Q17" i="1"/>
  <c r="Q18" i="1"/>
  <c r="Q19" i="1"/>
  <c r="P2" i="1"/>
  <c r="P7" i="1"/>
  <c r="P3" i="1"/>
  <c r="P4" i="1"/>
  <c r="P12" i="1"/>
  <c r="P5" i="1"/>
  <c r="P11" i="1"/>
  <c r="P8" i="1"/>
  <c r="P6" i="1"/>
  <c r="P13" i="1"/>
  <c r="P9" i="1"/>
  <c r="P14" i="1"/>
  <c r="P15" i="1"/>
  <c r="P10" i="1"/>
  <c r="P16" i="1"/>
  <c r="P17" i="1"/>
  <c r="P18" i="1"/>
  <c r="P19" i="1"/>
  <c r="O2" i="1"/>
  <c r="O7" i="1"/>
  <c r="O3" i="1"/>
  <c r="O4" i="1"/>
  <c r="O12" i="1"/>
  <c r="O5" i="1"/>
  <c r="O11" i="1"/>
  <c r="O8" i="1"/>
  <c r="O6" i="1"/>
  <c r="O13" i="1"/>
  <c r="O9" i="1"/>
  <c r="O14" i="1"/>
  <c r="O15" i="1"/>
  <c r="O10" i="1"/>
  <c r="O16" i="1"/>
  <c r="O17" i="1"/>
  <c r="O18" i="1"/>
  <c r="O19" i="1"/>
  <c r="N2" i="1"/>
  <c r="N7" i="1"/>
  <c r="N3" i="1"/>
  <c r="N4" i="1"/>
  <c r="N12" i="1"/>
  <c r="N5" i="1"/>
  <c r="N11" i="1"/>
  <c r="N8" i="1"/>
  <c r="N6" i="1"/>
  <c r="N13" i="1"/>
  <c r="N9" i="1"/>
  <c r="N14" i="1"/>
  <c r="N15" i="1"/>
  <c r="N10" i="1"/>
  <c r="N16" i="1"/>
  <c r="N17" i="1"/>
  <c r="N18" i="1"/>
  <c r="N19" i="1"/>
  <c r="M2" i="1"/>
  <c r="M12" i="1"/>
  <c r="M5" i="1"/>
  <c r="M11" i="1"/>
  <c r="M7" i="1"/>
  <c r="M3" i="1"/>
  <c r="M4" i="1"/>
  <c r="M13" i="1"/>
  <c r="M9" i="1"/>
  <c r="M14" i="1"/>
  <c r="M8" i="1"/>
  <c r="M6" i="1"/>
  <c r="M15" i="1"/>
  <c r="M10" i="1"/>
  <c r="M16" i="1"/>
  <c r="M17" i="1"/>
  <c r="M18" i="1"/>
  <c r="M19" i="1"/>
  <c r="L2" i="1"/>
  <c r="L12" i="1"/>
  <c r="L5" i="1"/>
  <c r="L11" i="1"/>
  <c r="L7" i="1"/>
  <c r="L3" i="1"/>
  <c r="L4" i="1"/>
  <c r="L13" i="1"/>
  <c r="L9" i="1"/>
  <c r="L14" i="1"/>
  <c r="L8" i="1"/>
  <c r="L6" i="1"/>
  <c r="L15" i="1"/>
  <c r="L10" i="1"/>
  <c r="L16" i="1"/>
  <c r="L17" i="1"/>
  <c r="L18" i="1"/>
  <c r="L19" i="1"/>
  <c r="K2" i="1"/>
  <c r="K12" i="1"/>
  <c r="K5" i="1"/>
  <c r="K11" i="1"/>
  <c r="K7" i="1"/>
  <c r="K3" i="1"/>
  <c r="K4" i="1"/>
  <c r="K13" i="1"/>
  <c r="K9" i="1"/>
  <c r="K14" i="1"/>
  <c r="K8" i="1"/>
  <c r="K6" i="1"/>
  <c r="K15" i="1"/>
  <c r="K10" i="1"/>
  <c r="K16" i="1"/>
  <c r="K17" i="1"/>
  <c r="K18" i="1"/>
  <c r="K19" i="1"/>
  <c r="B19" i="1"/>
  <c r="C19" i="1"/>
  <c r="D19" i="1"/>
  <c r="E19" i="1"/>
  <c r="F19" i="1"/>
  <c r="G19" i="1"/>
  <c r="H19" i="1"/>
  <c r="I19" i="1"/>
  <c r="J19" i="1"/>
  <c r="B16" i="1"/>
  <c r="C16" i="1"/>
  <c r="D16" i="1"/>
  <c r="E16" i="1"/>
  <c r="F16" i="1"/>
  <c r="G16" i="1"/>
  <c r="H16" i="1"/>
  <c r="I16" i="1"/>
  <c r="J16" i="1"/>
  <c r="J12" i="1"/>
  <c r="J2" i="1"/>
  <c r="J5" i="1"/>
  <c r="J11" i="1"/>
  <c r="J4" i="1"/>
  <c r="J7" i="1"/>
  <c r="J3" i="1"/>
  <c r="J6" i="1"/>
  <c r="J13" i="1"/>
  <c r="J15" i="1"/>
  <c r="J10" i="1"/>
  <c r="J14" i="1"/>
  <c r="J9" i="1"/>
  <c r="J17" i="1"/>
  <c r="J18" i="1"/>
  <c r="J8" i="1"/>
  <c r="I12" i="1"/>
  <c r="I2" i="1"/>
  <c r="I5" i="1"/>
  <c r="I11" i="1"/>
  <c r="I4" i="1"/>
  <c r="I7" i="1"/>
  <c r="I3" i="1"/>
  <c r="I6" i="1"/>
  <c r="I13" i="1"/>
  <c r="I15" i="1"/>
  <c r="I10" i="1"/>
  <c r="I14" i="1"/>
  <c r="I9" i="1"/>
  <c r="I17" i="1"/>
  <c r="I18" i="1"/>
  <c r="I8" i="1"/>
  <c r="H12" i="1"/>
  <c r="H2" i="1"/>
  <c r="H5" i="1"/>
  <c r="H11" i="1"/>
  <c r="H4" i="1"/>
  <c r="H7" i="1"/>
  <c r="H3" i="1"/>
  <c r="H6" i="1"/>
  <c r="H13" i="1"/>
  <c r="H15" i="1"/>
  <c r="H10" i="1"/>
  <c r="H14" i="1"/>
  <c r="H9" i="1"/>
  <c r="H17" i="1"/>
  <c r="H18" i="1"/>
  <c r="H8" i="1"/>
  <c r="B13" i="1"/>
  <c r="C13" i="1"/>
  <c r="D13" i="1"/>
  <c r="E13" i="1"/>
  <c r="F13" i="1"/>
  <c r="G13" i="1"/>
  <c r="D6" i="1"/>
  <c r="D12" i="1"/>
  <c r="D15" i="1"/>
  <c r="D2" i="1"/>
  <c r="D10" i="1"/>
  <c r="D14" i="1"/>
  <c r="D5" i="1"/>
  <c r="D9" i="1"/>
  <c r="AB9" i="1" s="1"/>
  <c r="D7" i="1"/>
  <c r="D11" i="1"/>
  <c r="D18" i="1"/>
  <c r="D8" i="1"/>
  <c r="D4" i="1"/>
  <c r="D3" i="1"/>
  <c r="D17" i="1"/>
  <c r="G6" i="1"/>
  <c r="G12" i="1"/>
  <c r="G15" i="1"/>
  <c r="G2" i="1"/>
  <c r="G10" i="1"/>
  <c r="G14" i="1"/>
  <c r="G5" i="1"/>
  <c r="G9" i="1"/>
  <c r="G7" i="1"/>
  <c r="G11" i="1"/>
  <c r="G18" i="1"/>
  <c r="G8" i="1"/>
  <c r="G4" i="1"/>
  <c r="G3" i="1"/>
  <c r="G17" i="1"/>
  <c r="F6" i="1"/>
  <c r="F12" i="1"/>
  <c r="F15" i="1"/>
  <c r="F2" i="1"/>
  <c r="F10" i="1"/>
  <c r="F14" i="1"/>
  <c r="F5" i="1"/>
  <c r="F9" i="1"/>
  <c r="F7" i="1"/>
  <c r="F11" i="1"/>
  <c r="F18" i="1"/>
  <c r="F8" i="1"/>
  <c r="F4" i="1"/>
  <c r="F3" i="1"/>
  <c r="F17" i="1"/>
  <c r="E6" i="1"/>
  <c r="E12" i="1"/>
  <c r="E15" i="1"/>
  <c r="E2" i="1"/>
  <c r="E10" i="1"/>
  <c r="E14" i="1"/>
  <c r="E5" i="1"/>
  <c r="E9" i="1"/>
  <c r="E7" i="1"/>
  <c r="E11" i="1"/>
  <c r="E18" i="1"/>
  <c r="E8" i="1"/>
  <c r="E4" i="1"/>
  <c r="E3" i="1"/>
  <c r="E17" i="1"/>
  <c r="C6" i="1"/>
  <c r="C12" i="1"/>
  <c r="C15" i="1"/>
  <c r="C2" i="1"/>
  <c r="C10" i="1"/>
  <c r="C14" i="1"/>
  <c r="C5" i="1"/>
  <c r="C9" i="1"/>
  <c r="C7" i="1"/>
  <c r="C11" i="1"/>
  <c r="C18" i="1"/>
  <c r="C8" i="1"/>
  <c r="C4" i="1"/>
  <c r="C3" i="1"/>
  <c r="C17" i="1"/>
  <c r="B6" i="1"/>
  <c r="B12" i="1"/>
  <c r="B15" i="1"/>
  <c r="B2" i="1"/>
  <c r="B10" i="1"/>
  <c r="B14" i="1"/>
  <c r="B5" i="1"/>
  <c r="B9" i="1"/>
  <c r="B7" i="1"/>
  <c r="B11" i="1"/>
  <c r="B18" i="1"/>
  <c r="B8" i="1"/>
  <c r="B4" i="1"/>
  <c r="B3" i="1"/>
  <c r="B17" i="1"/>
  <c r="AB7" i="1" l="1"/>
  <c r="AB13" i="1"/>
  <c r="AB5" i="1"/>
  <c r="AB14" i="1"/>
  <c r="AB10" i="1"/>
  <c r="AB8" i="1"/>
  <c r="AB17" i="1"/>
  <c r="AB15" i="1"/>
  <c r="AB19" i="1"/>
  <c r="AB12" i="1"/>
  <c r="AB11" i="1"/>
  <c r="AB6" i="1"/>
  <c r="AB16" i="1"/>
  <c r="AB2" i="1"/>
  <c r="AB3" i="1"/>
  <c r="AB4" i="1"/>
  <c r="AB18" i="1"/>
  <c r="Y19" i="1"/>
  <c r="Z19" i="1" s="1"/>
  <c r="Y16" i="1"/>
  <c r="Z16" i="1" s="1"/>
  <c r="Y13" i="1"/>
  <c r="Z13" i="1" s="1"/>
  <c r="Y15" i="1"/>
  <c r="Z15" i="1" s="1"/>
  <c r="Y3" i="1"/>
  <c r="Z3" i="1" s="1"/>
  <c r="Y14" i="1"/>
  <c r="Z14" i="1" s="1"/>
  <c r="Y10" i="1"/>
  <c r="Z10" i="1" s="1"/>
  <c r="Y2" i="1"/>
  <c r="Z2" i="1" s="1"/>
  <c r="Y12" i="1"/>
  <c r="Z12" i="1" s="1"/>
  <c r="Y17" i="1"/>
  <c r="Z17" i="1" s="1"/>
  <c r="Y4" i="1"/>
  <c r="Z4" i="1" s="1"/>
  <c r="Y6" i="1"/>
  <c r="Z6" i="1" s="1"/>
  <c r="Y8" i="1"/>
  <c r="Z8" i="1" s="1"/>
  <c r="Y18" i="1"/>
  <c r="Z18" i="1" s="1"/>
  <c r="Y11" i="1"/>
  <c r="Z11" i="1" s="1"/>
  <c r="Y7" i="1"/>
  <c r="Z7" i="1" s="1"/>
  <c r="Y9" i="1"/>
  <c r="Z9" i="1" s="1"/>
  <c r="Y5" i="1"/>
  <c r="Z5" i="1" s="1"/>
  <c r="AA19" i="1" l="1"/>
  <c r="AA16" i="1"/>
  <c r="AA18" i="1"/>
  <c r="AA10" i="1"/>
  <c r="AA17" i="1"/>
  <c r="AA5" i="1"/>
  <c r="AA14" i="1"/>
  <c r="AA6" i="1"/>
  <c r="AA11" i="1"/>
  <c r="AA4" i="1"/>
  <c r="AA9" i="1"/>
  <c r="AA7" i="1"/>
  <c r="AA8" i="1"/>
  <c r="AA3" i="1"/>
  <c r="AA15" i="1"/>
  <c r="AA12" i="1"/>
  <c r="AA2" i="1"/>
  <c r="AA13" i="1"/>
</calcChain>
</file>

<file path=xl/sharedStrings.xml><?xml version="1.0" encoding="utf-8"?>
<sst xmlns="http://schemas.openxmlformats.org/spreadsheetml/2006/main" count="461" uniqueCount="120">
  <si>
    <t>NAME</t>
  </si>
  <si>
    <t>16 lb 15.8 oz</t>
  </si>
  <si>
    <t>13 lb 1.6 oz</t>
  </si>
  <si>
    <t>Spencer</t>
  </si>
  <si>
    <t>12 lb 4.6 oz</t>
  </si>
  <si>
    <t>11 lb 15.6 oz</t>
  </si>
  <si>
    <t>10 lb 13.4 oz</t>
  </si>
  <si>
    <t>Charlie</t>
  </si>
  <si>
    <t>10 lb 12 oz</t>
  </si>
  <si>
    <t>10 lb 1.2 oz</t>
  </si>
  <si>
    <t>Ricky</t>
  </si>
  <si>
    <t>8 lb 13.8 oz</t>
  </si>
  <si>
    <t>8 lb 8.8 oz</t>
  </si>
  <si>
    <t>Chad</t>
  </si>
  <si>
    <t>7 lb 8.4 oz</t>
  </si>
  <si>
    <t>Jody</t>
  </si>
  <si>
    <t>5 lb 7.6 oz</t>
  </si>
  <si>
    <t>Carlo</t>
  </si>
  <si>
    <t>3 lb 3.8 oz</t>
  </si>
  <si>
    <t>2 lb 7.6 oz</t>
  </si>
  <si>
    <t>1 lb 15 oz</t>
  </si>
  <si>
    <t>Name</t>
  </si>
  <si>
    <t>PLACE</t>
  </si>
  <si>
    <t>FISH</t>
  </si>
  <si>
    <t>TOTAL WEIGHT</t>
  </si>
  <si>
    <t>POINTS</t>
  </si>
  <si>
    <t>Pounds</t>
  </si>
  <si>
    <t>Ounces</t>
  </si>
  <si>
    <t>8 lb 2.8 oz</t>
  </si>
  <si>
    <t>7 lbs 4.6 oz</t>
  </si>
  <si>
    <t>7 lbs 1 oz</t>
  </si>
  <si>
    <t>5 lbs 9.4 oz</t>
  </si>
  <si>
    <t>4 lbs 8.6 oz</t>
  </si>
  <si>
    <t>4 lbs 1.6 oz</t>
  </si>
  <si>
    <t>3 lbs 12.0 oz</t>
  </si>
  <si>
    <t>Jason</t>
  </si>
  <si>
    <t>2 lbs 5 oz</t>
  </si>
  <si>
    <t>2 lbs 1 oz</t>
  </si>
  <si>
    <t>Frank</t>
  </si>
  <si>
    <t>-</t>
  </si>
  <si>
    <t>Gary</t>
  </si>
  <si>
    <t>Vince</t>
  </si>
  <si>
    <t>Mike</t>
  </si>
  <si>
    <t>Dan</t>
  </si>
  <si>
    <t>Bill</t>
  </si>
  <si>
    <t>Brian</t>
  </si>
  <si>
    <t>Paul</t>
  </si>
  <si>
    <t>Dave</t>
  </si>
  <si>
    <t>Tour#1 Oz</t>
  </si>
  <si>
    <t>Tour#1 Lbs</t>
  </si>
  <si>
    <t>Tour#2 Lbs</t>
  </si>
  <si>
    <t>Tour#2 Oz</t>
  </si>
  <si>
    <t>Tour#3 Lbs</t>
  </si>
  <si>
    <t>Tour#4 Oz</t>
  </si>
  <si>
    <t>Tour#5 Lbs</t>
  </si>
  <si>
    <t>Tour#5 Oz</t>
  </si>
  <si>
    <t>Tour#6 Lbs</t>
  </si>
  <si>
    <t>Tour#6 Oz</t>
  </si>
  <si>
    <t>Total Lbs</t>
  </si>
  <si>
    <t>Total oz</t>
  </si>
  <si>
    <t>Tour#1 Pts</t>
  </si>
  <si>
    <t>Tour#2 Pts</t>
  </si>
  <si>
    <t>Tour#3 Oz</t>
  </si>
  <si>
    <t>Tour#4 Lbs</t>
  </si>
  <si>
    <t>Total Pts</t>
  </si>
  <si>
    <t>Not Present</t>
  </si>
  <si>
    <t>Tour#3 Pts2</t>
  </si>
  <si>
    <t>Tour#4 Pts2</t>
  </si>
  <si>
    <t>Tour#5 Pts2</t>
  </si>
  <si>
    <t>Tour#6 Pts</t>
  </si>
  <si>
    <t>Joe Champney</t>
  </si>
  <si>
    <t>oz to lbs</t>
  </si>
  <si>
    <t>Converted Total Oz</t>
  </si>
  <si>
    <t>Total Weight Year</t>
  </si>
  <si>
    <t>9 Lb 7.8 Oz</t>
  </si>
  <si>
    <t>10 Lb 8.2 Oz</t>
  </si>
  <si>
    <t>7 Lbs 14.4 Oz</t>
  </si>
  <si>
    <t>9 Lb 5.6 Oz</t>
  </si>
  <si>
    <t>15 Lbs 2.0 Oz</t>
  </si>
  <si>
    <t>11 Lb 5.4 Oz</t>
  </si>
  <si>
    <t>12 Lbs 7.6 Oz</t>
  </si>
  <si>
    <t>Joe Chague</t>
  </si>
  <si>
    <t>9 Lbs 1.2 Oz</t>
  </si>
  <si>
    <t>6 lbs 3.2 Oz</t>
  </si>
  <si>
    <t>5 lbs 2.0 Oz</t>
  </si>
  <si>
    <t>9 Lb 12.4 Oz</t>
  </si>
  <si>
    <t>15 Lbs 14.2 Oz</t>
  </si>
  <si>
    <t>13 Lb 13.2 Oz</t>
  </si>
  <si>
    <t>14 Lbs 11.6 Oz</t>
  </si>
  <si>
    <t>11 Lb 9.6 Oz</t>
  </si>
  <si>
    <t>10 Lb 13.6 Oz</t>
  </si>
  <si>
    <t>7 Lb 9.6 Oz</t>
  </si>
  <si>
    <t>9 Lbs 1.8 Oz</t>
  </si>
  <si>
    <t>17 Lbs 8.8 Oz</t>
  </si>
  <si>
    <t>0 Lbs 0 Oz</t>
  </si>
  <si>
    <t>16 Lbs 10.4 Oz</t>
  </si>
  <si>
    <t>14 Lbs 2.6 Oz</t>
  </si>
  <si>
    <t>8 Lbs 12.6 Oz</t>
  </si>
  <si>
    <t>6 Lbs 9.2 Oz</t>
  </si>
  <si>
    <t>6 Lbs 7.8 Oz</t>
  </si>
  <si>
    <t>4 Lbs 12.6 Oz</t>
  </si>
  <si>
    <t>3 Lbs 8 Oz</t>
  </si>
  <si>
    <t>13 Lbs 15.4 Oz</t>
  </si>
  <si>
    <t>8 Lbs 15.4 Oz</t>
  </si>
  <si>
    <t>7 Lbs 13.6 Oz</t>
  </si>
  <si>
    <t>7 Lbs 10.6 Oz</t>
  </si>
  <si>
    <t>7 Lbs 3.8 Oz</t>
  </si>
  <si>
    <t>5 Lbs 12.8 Oz</t>
  </si>
  <si>
    <t>5 Lbs 7.2 Oz</t>
  </si>
  <si>
    <t>Champ Lbs</t>
  </si>
  <si>
    <t>Champ Oz</t>
  </si>
  <si>
    <t>Champ Pts</t>
  </si>
  <si>
    <t>10 Lbs 13.8 Oz</t>
  </si>
  <si>
    <t>10 Lbs 2.4 Oz</t>
  </si>
  <si>
    <t>9 Lbs 11.2 Oz</t>
  </si>
  <si>
    <t>8 Lbs 13.2 Oz</t>
  </si>
  <si>
    <t>7 Lbs 11.8 Oz</t>
  </si>
  <si>
    <t>7 Lbs 10.4 Oz</t>
  </si>
  <si>
    <t>7 Lbs 6.2 Oz</t>
  </si>
  <si>
    <t>6 Lbs 11.2 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</si>
</sst>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color rgb="FF111111"/>
      <name val="Arial"/>
      <family val="2"/>
    </font>
    <font>
      <sz val="16"/>
      <color rgb="FF111111"/>
      <name val="Arial"/>
      <family val="2"/>
    </font>
    <font>
      <sz val="8"/>
      <name val="Calibri"/>
      <family val="2"/>
      <scheme val="minor"/>
    </font>
    <font>
      <b/>
      <i/>
      <sz val="16"/>
      <color theme="1"/>
      <name val="Arial"/>
      <family val="2"/>
    </font>
    <font>
      <i/>
      <sz val="16"/>
      <color rgb="FFC00000"/>
      <name val="Arial"/>
      <family val="2"/>
    </font>
    <font>
      <b/>
      <sz val="12"/>
      <color theme="1"/>
      <name val="Calibri"/>
      <family val="2"/>
      <scheme val="minor"/>
    </font>
    <font>
      <i/>
      <sz val="16"/>
      <name val="Arial"/>
      <family val="2"/>
    </font>
    <font>
      <b/>
      <i/>
      <sz val="16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rgb="FFD9E1F2"/>
        <bgColor rgb="FFD9E1F2"/>
      </patternFill>
    </fill>
  </fills>
  <borders count="2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4" tint="0.39997558519241921"/>
      </left>
      <right style="thin">
        <color theme="0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wrapText="1"/>
    </xf>
    <xf numFmtId="1" fontId="4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3" borderId="1" xfId="0" applyFont="1" applyFill="1" applyBorder="1"/>
    <xf numFmtId="0" fontId="4" fillId="3" borderId="2" xfId="0" applyFont="1" applyFill="1" applyBorder="1"/>
    <xf numFmtId="0" fontId="4" fillId="3" borderId="3" xfId="0" applyFont="1" applyFill="1" applyBorder="1"/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1" fillId="0" borderId="0" xfId="0" applyFont="1"/>
    <xf numFmtId="0" fontId="10" fillId="0" borderId="8" xfId="0" applyFont="1" applyBorder="1" applyAlignment="1">
      <alignment wrapText="1"/>
    </xf>
    <xf numFmtId="0" fontId="8" fillId="0" borderId="0" xfId="0" applyFont="1"/>
    <xf numFmtId="0" fontId="1" fillId="4" borderId="12" xfId="0" applyFont="1" applyFill="1" applyBorder="1"/>
    <xf numFmtId="0" fontId="1" fillId="3" borderId="12" xfId="0" applyFont="1" applyFill="1" applyBorder="1"/>
    <xf numFmtId="0" fontId="1" fillId="3" borderId="13" xfId="0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0" fontId="3" fillId="2" borderId="16" xfId="0" applyFont="1" applyFill="1" applyBorder="1"/>
    <xf numFmtId="0" fontId="1" fillId="4" borderId="13" xfId="0" applyFont="1" applyFill="1" applyBorder="1"/>
    <xf numFmtId="0" fontId="4" fillId="3" borderId="0" xfId="0" applyFont="1" applyFill="1"/>
    <xf numFmtId="0" fontId="7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7" fillId="0" borderId="9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4" fillId="3" borderId="17" xfId="0" applyFont="1" applyFill="1" applyBorder="1"/>
    <xf numFmtId="0" fontId="4" fillId="3" borderId="19" xfId="0" applyFont="1" applyFill="1" applyBorder="1"/>
    <xf numFmtId="0" fontId="4" fillId="3" borderId="18" xfId="0" applyFont="1" applyFill="1" applyBorder="1"/>
    <xf numFmtId="0" fontId="4" fillId="3" borderId="20" xfId="0" applyFont="1" applyFill="1" applyBorder="1"/>
    <xf numFmtId="0" fontId="4" fillId="3" borderId="21" xfId="0" applyFont="1" applyFill="1" applyBorder="1"/>
    <xf numFmtId="0" fontId="4" fillId="3" borderId="22" xfId="0" applyFont="1" applyFill="1" applyBorder="1"/>
    <xf numFmtId="0" fontId="4" fillId="3" borderId="23" xfId="0" applyFont="1" applyFill="1" applyBorder="1"/>
    <xf numFmtId="0" fontId="2" fillId="3" borderId="13" xfId="0" applyFont="1" applyFill="1" applyBorder="1"/>
    <xf numFmtId="0" fontId="2" fillId="3" borderId="12" xfId="0" applyFont="1" applyFill="1" applyBorder="1"/>
    <xf numFmtId="0" fontId="2" fillId="4" borderId="12" xfId="0" applyFont="1" applyFill="1" applyBorder="1"/>
    <xf numFmtId="0" fontId="4" fillId="5" borderId="24" xfId="0" applyFont="1" applyFill="1" applyBorder="1"/>
    <xf numFmtId="0" fontId="4" fillId="5" borderId="25" xfId="0" applyFont="1" applyFill="1" applyBorder="1"/>
    <xf numFmtId="0" fontId="4" fillId="5" borderId="26" xfId="0" applyFont="1" applyFill="1" applyBorder="1"/>
    <xf numFmtId="0" fontId="7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</cellXfs>
  <cellStyles count="1">
    <cellStyle name="Normal" xfId="0" builtinId="0"/>
  </cellStyles>
  <dxfs count="102">
    <dxf>
      <font>
        <b val="0"/>
        <i/>
        <strike val="0"/>
        <condense val="0"/>
        <extend val="0"/>
        <outline val="0"/>
        <shadow val="0"/>
        <u val="none"/>
        <vertAlign val="baseline"/>
        <sz val="16"/>
        <color rgb="FFC00000"/>
        <name val="Arial"/>
        <family val="2"/>
        <scheme val="none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6"/>
        <color rgb="FFC00000"/>
        <name val="Arial"/>
        <family val="2"/>
        <scheme val="none"/>
      </font>
      <numFmt numFmtId="0" formatCode="General"/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6"/>
        <color rgb="FFC00000"/>
        <name val="Arial"/>
        <family val="2"/>
        <scheme val="none"/>
      </font>
      <numFmt numFmtId="0" formatCode="General"/>
      <alignment horizontal="general" vertical="bottom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theme="4" tint="0.39997558519241921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theme="4" tint="0.39997558519241921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theme="4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  <numFmt numFmtId="164" formatCode="0.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11111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6"/>
        <color rgb="FFC00000"/>
        <name val="Arial"/>
        <family val="2"/>
        <scheme val="none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none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none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  <numFmt numFmtId="0" formatCode="General"/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3625903-B15D-6341-8E54-927D54E0F18C}" name="Table3" displayName="Table3" ref="A1:AB19" totalsRowShown="0" headerRowDxfId="101" dataDxfId="100">
  <autoFilter ref="A1:AB19" xr:uid="{B3625903-B15D-6341-8E54-927D54E0F18C}"/>
  <sortState xmlns:xlrd2="http://schemas.microsoft.com/office/spreadsheetml/2017/richdata2" ref="A2:AB19">
    <sortCondition descending="1" ref="AB1:AB19"/>
  </sortState>
  <tableColumns count="28">
    <tableColumn id="1" xr3:uid="{2EA0FBE7-C84A-D44C-8F09-8CE743AD36E2}" name="Name" dataDxfId="99"/>
    <tableColumn id="7" xr3:uid="{FCFE1D3C-7170-2644-8B4C-158CD5FAFC03}" name="Tour#1 Lbs" dataDxfId="98">
      <calculatedColumnFormula>VLOOKUP(Table3[[#This Row],[Name]],Table1[],5,FALSE)</calculatedColumnFormula>
    </tableColumn>
    <tableColumn id="8" xr3:uid="{1D8B6696-ED4F-114F-BCFE-5648AE4DA87E}" name="Tour#1 Oz" dataDxfId="97">
      <calculatedColumnFormula>VLOOKUP(Table3[[#This Row],[Name]],Table1[],6,FALSE)</calculatedColumnFormula>
    </tableColumn>
    <tableColumn id="19" xr3:uid="{E2ECE39D-C51A-B54B-91E9-891331D1AF9C}" name="Tour#1 Pts" dataDxfId="96">
      <calculatedColumnFormula>VLOOKUP(Table3[[#This Row],[Name]],Table1[],7,FALSE)</calculatedColumnFormula>
    </tableColumn>
    <tableColumn id="9" xr3:uid="{E13B4737-CE88-B941-B389-5545E3229EBA}" name="Tour#2 Lbs" dataDxfId="95">
      <calculatedColumnFormula>VLOOKUP(Table3[[#This Row],[Name]],Table2[],5,FALSE)</calculatedColumnFormula>
    </tableColumn>
    <tableColumn id="10" xr3:uid="{C8F57532-AC4F-8145-8A92-4C4C34FFCC4C}" name="Tour#2 Oz" dataDxfId="94">
      <calculatedColumnFormula>VLOOKUP(Table3[[#This Row],[Name]],Table2[],6,FALSE)</calculatedColumnFormula>
    </tableColumn>
    <tableColumn id="20" xr3:uid="{6B3A0046-DAAA-8F4B-8316-B3B767549069}" name="Tour#2 Pts" dataDxfId="93">
      <calculatedColumnFormula>VLOOKUP(Table3[[#This Row],[Name]],Table2[#All],7,FALSE)</calculatedColumnFormula>
    </tableColumn>
    <tableColumn id="11" xr3:uid="{BA2ED59F-2333-3B42-8B94-DA1C73E6FB31}" name="Tour#3 Lbs" dataDxfId="92">
      <calculatedColumnFormula>VLOOKUP(Table3[[#This Row],[Name]],Table4[],5,FALSE)</calculatedColumnFormula>
    </tableColumn>
    <tableColumn id="12" xr3:uid="{62433F3E-AE33-2043-B9E4-98192F7E66A4}" name="Tour#3 Oz" dataDxfId="91">
      <calculatedColumnFormula>VLOOKUP(Table3[[#This Row],[Name]],Table4[],6,FALSE)</calculatedColumnFormula>
    </tableColumn>
    <tableColumn id="24" xr3:uid="{AA678F89-4855-334D-A99C-8B7554001F61}" name="Tour#3 Pts2" dataDxfId="90">
      <calculatedColumnFormula>VLOOKUP(Table3[[#This Row],[Name]],Table4[],7,FALSE)</calculatedColumnFormula>
    </tableColumn>
    <tableColumn id="22" xr3:uid="{70A8EB28-1B5B-7144-B7EB-30619F339B26}" name="Tour#4 Lbs" dataDxfId="89">
      <calculatedColumnFormula>VLOOKUP(Table3[[#This Row],[Name]],LkGrgResults[],5,FALSE)</calculatedColumnFormula>
    </tableColumn>
    <tableColumn id="21" xr3:uid="{AD9CA756-7F81-3D4F-8A8D-B2743D184879}" name="Tour#4 Oz" dataDxfId="88">
      <calculatedColumnFormula>VLOOKUP(Table3[[#This Row],[Name]],LkGrgResults[],6,FALSE)</calculatedColumnFormula>
    </tableColumn>
    <tableColumn id="25" xr3:uid="{7EDB86D5-2B32-0148-B800-34155CA18509}" name="Tour#4 Pts2" dataDxfId="87">
      <calculatedColumnFormula>VLOOKUP(Table3[[#This Row],[Name]],LkGrgResults[],7,FALSE)</calculatedColumnFormula>
    </tableColumn>
    <tableColumn id="13" xr3:uid="{6E2957D2-8ED5-3F41-8E14-AC99287FEEE5}" name="Tour#5 Lbs" dataDxfId="86">
      <calculatedColumnFormula>VLOOKUP(Table3[[#This Row],[Name]],ChampResults[],5,FALSE)</calculatedColumnFormula>
    </tableColumn>
    <tableColumn id="14" xr3:uid="{0F0CEC50-9DA0-1340-B465-5717F3352F1F}" name="Tour#5 Oz" dataDxfId="85">
      <calculatedColumnFormula>VLOOKUP(Table3[[#This Row],[Name]],ChampResults[],6,FALSE)</calculatedColumnFormula>
    </tableColumn>
    <tableColumn id="26" xr3:uid="{4D708226-1020-7F4A-A0A5-15B9CF72ED66}" name="Tour#5 Pts2" dataDxfId="84">
      <calculatedColumnFormula>VLOOKUP(Table3[[#This Row],[Name]],ChampResults[],7,FALSE)</calculatedColumnFormula>
    </tableColumn>
    <tableColumn id="15" xr3:uid="{71C08FBF-99EB-A548-917D-F7C6B84A0FFC}" name="Tour#6 Lbs" dataDxfId="83">
      <calculatedColumnFormula>VLOOKUP(Table3[[#This Row],[Name]],BuelResults[],5,FALSE)</calculatedColumnFormula>
    </tableColumn>
    <tableColumn id="16" xr3:uid="{24953E6F-9FA3-4B49-B9C3-5A67057CDD4A}" name="Tour#6 Oz" dataDxfId="82">
      <calculatedColumnFormula>VLOOKUP(Table3[[#This Row],[Name]],BuelResults[],6,FALSE)</calculatedColumnFormula>
    </tableColumn>
    <tableColumn id="27" xr3:uid="{A5CE825D-EA00-0749-B67B-327F8FB0A894}" name="Tour#6 Pts" dataDxfId="81">
      <calculatedColumnFormula>VLOOKUP(Table3[[#This Row],[Name]],BuelResults[],7,FALSE)</calculatedColumnFormula>
    </tableColumn>
    <tableColumn id="5" xr3:uid="{8A132E83-C96F-7646-BCD8-523179ACA97D}" name="Champ Lbs" dataDxfId="5">
      <calculatedColumnFormula>VLOOKUP(Table3[[#This Row],[Name]],SaraResults[],5,FALSE)</calculatedColumnFormula>
    </tableColumn>
    <tableColumn id="6" xr3:uid="{B388909B-A862-E449-8F36-C179FAA82719}" name="Champ Oz" dataDxfId="4">
      <calculatedColumnFormula>VLOOKUP(Table3[[#This Row],[Name]],SaraResults[],6,FALSE)</calculatedColumnFormula>
    </tableColumn>
    <tableColumn id="28" xr3:uid="{D4D3BCBE-B1C0-8642-A095-7075FF8DE48C}" name="Champ Pts" dataDxfId="3">
      <calculatedColumnFormula>VLOOKUP(Table3[[#This Row],[Name]],SaraResults[],7,FALSE)</calculatedColumnFormula>
    </tableColumn>
    <tableColumn id="17" xr3:uid="{00A03912-58DC-914C-AC20-847713D0D928}" name="Total Lbs" dataDxfId="1">
      <calculatedColumnFormula>Table3[[#This Row],[Tour'#1 Lbs]]+Table3[[#This Row],[Tour'#2 Lbs]]+Table3[[#This Row],[Tour'#3 Lbs]]+Table3[[#This Row],[Tour'#4 Lbs]]+Table3[[#This Row],[Tour'#5 Lbs]]+Table3[[#This Row],[Tour'#6 Lbs]]+Table3[[#This Row],[Champ Lbs]]</calculatedColumnFormula>
    </tableColumn>
    <tableColumn id="18" xr3:uid="{E22E678C-C544-B24F-9F43-2C77F048EF72}" name="Total oz" dataDxfId="0">
      <calculatedColumnFormula>Table3[[#This Row],[Tour'#1 Oz]]+Table3[[#This Row],[Tour'#2 Oz]]+Table3[[#This Row],[Tour'#3 Oz]]+Table3[[#This Row],[Tour'#4 Oz]]+Table3[[#This Row],[Tour'#5 Oz]]+Table3[[#This Row],[Tour'#6 Oz]]+Table3[[#This Row],[Champ Oz]]</calculatedColumnFormula>
    </tableColumn>
    <tableColumn id="2" xr3:uid="{9E9AC747-CB63-A349-8F11-F14CEFC8284D}" name="oz to lbs" dataDxfId="80">
      <calculatedColumnFormula>IF((Table3[[#This Row],[Total oz]])&gt;=16,ROUNDDOWN((Table3[[#This Row],[Total oz]]/16),0), )</calculatedColumnFormula>
    </tableColumn>
    <tableColumn id="3" xr3:uid="{A8081F37-AF2F-1F4B-9298-C61E98589C8E}" name="Converted Total Oz" dataDxfId="79">
      <calculatedColumnFormula>IF(Table3[[#This Row],[oz to lbs]]&gt;=1,(Table3[[#This Row],[Total oz]]-(16*Table3[[#This Row],[oz to lbs]])),0)</calculatedColumnFormula>
    </tableColumn>
    <tableColumn id="4" xr3:uid="{B9E679B3-B177-2B47-8A19-5E954888AFEA}" name="Total Weight Year" dataDxfId="78">
      <calculatedColumnFormula>_xlfn.CONCAT(Table3[[#This Row],[Total Lbs]]+Table3[[#This Row],[oz to lbs]]," lbs ",IF(Table3[[#This Row],[oz to lbs]]&gt;0,ROUND(Table3[[#This Row],[Converted Total Oz]],1),Table3[[#This Row],[Total oz]]), " oz")</calculatedColumnFormula>
    </tableColumn>
    <tableColumn id="23" xr3:uid="{07DBF24D-E583-ED43-A925-DADA4ED6C531}" name="Total Pts" dataDxfId="2">
      <calculatedColumnFormula>Table3[[#This Row],[Tour'#1 Pts]]+Table3[[#This Row],[Tour'#2 Pts]]+Table3[[#This Row],[Tour'#3 Pts2]]+Table3[[#This Row],[Tour'#4 Pts2]]+Table3[[#This Row],[Tour'#5 Pts2]]+Table3[[#This Row],[Tour'#6 Pts]]+Table3[[#This Row],[Champ Pts]]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8362F48-52DD-894A-928D-AC33D291F11B}" name="Table1" displayName="Table1" ref="A1:G19" totalsRowShown="0" headerRowDxfId="77" dataDxfId="76">
  <autoFilter ref="A1:G19" xr:uid="{28362F48-52DD-894A-928D-AC33D291F11B}"/>
  <tableColumns count="7">
    <tableColumn id="2" xr3:uid="{BA7A1F55-B816-F94B-891B-E3C9C1F837BB}" name="NAME" dataDxfId="75"/>
    <tableColumn id="1" xr3:uid="{E1792DF9-B233-1C49-BAB1-5E5BEE8D79A4}" name="PLACE" dataDxfId="74"/>
    <tableColumn id="3" xr3:uid="{5F11E0BE-04D5-9946-B823-58CF4357A7C7}" name="FISH" dataDxfId="73"/>
    <tableColumn id="4" xr3:uid="{25A03DCE-7B51-7443-ACE4-478C7644ECA7}" name="TOTAL WEIGHT" dataDxfId="72"/>
    <tableColumn id="8" xr3:uid="{B52A2069-B379-4949-B9A8-4ABAE89836EC}" name="Pounds" dataDxfId="71"/>
    <tableColumn id="7" xr3:uid="{356AE700-C7D0-F642-9C6E-A1CD898BC991}" name="Ounces" dataDxfId="70"/>
    <tableColumn id="5" xr3:uid="{D56315FA-9BFB-3C42-B9CB-D668F76535F3}" name="POINTS" dataDxfId="6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0CAC731-9282-1B45-AA79-4ADD0491998F}" name="Table2" displayName="Table2" ref="A1:G19" totalsRowShown="0" headerRowDxfId="68" dataDxfId="67">
  <autoFilter ref="A1:G19" xr:uid="{90CAC731-9282-1B45-AA79-4ADD0491998F}"/>
  <tableColumns count="7">
    <tableColumn id="2" xr3:uid="{203D0EEC-0FCE-F348-8683-B7AE7DB8C984}" name="NAME" dataDxfId="66"/>
    <tableColumn id="1" xr3:uid="{801196EB-210C-2340-A023-B5EAD8405A90}" name="PLACE" dataDxfId="65"/>
    <tableColumn id="3" xr3:uid="{DD70DC69-D5DC-5F43-B199-27071A727F32}" name="FISH" dataDxfId="64"/>
    <tableColumn id="4" xr3:uid="{F6869271-C6D8-FE48-AAA3-0A73496C4040}" name="TOTAL WEIGHT" dataDxfId="63"/>
    <tableColumn id="5" xr3:uid="{DAD4CA55-56F3-F942-ADBC-F36A63C72F8F}" name="Pounds" dataDxfId="62"/>
    <tableColumn id="6" xr3:uid="{4C98EC0D-6A8D-5443-9643-834A882D7770}" name="Ounces" dataDxfId="61"/>
    <tableColumn id="7" xr3:uid="{B27DE7D1-7D81-FB49-9AFE-F914C4F6448B}" name="POINTS" dataDxfId="6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CB9E752-64A6-A949-BC01-4373F4306571}" name="Table4" displayName="Table4" ref="A1:G19" totalsRowShown="0" headerRowDxfId="59" headerRowBorderDxfId="58" tableBorderDxfId="57">
  <autoFilter ref="A1:G19" xr:uid="{3CB9E752-64A6-A949-BC01-4373F4306571}"/>
  <sortState xmlns:xlrd2="http://schemas.microsoft.com/office/spreadsheetml/2017/richdata2" ref="A2:G18">
    <sortCondition ref="B2:B18"/>
  </sortState>
  <tableColumns count="7">
    <tableColumn id="1" xr3:uid="{EB9AA472-BECE-E640-80F1-C13EB4FF8305}" name="NAME" dataDxfId="56"/>
    <tableColumn id="2" xr3:uid="{1E0BE227-03C5-6C4B-BFC6-78020944872A}" name="PLACE" dataDxfId="55"/>
    <tableColumn id="3" xr3:uid="{F6E30C97-0BDD-4644-A069-7C9DEA6F51DC}" name="FISH" dataDxfId="54"/>
    <tableColumn id="4" xr3:uid="{89BE6794-C982-B943-8C1E-FB2D9A92CAA8}" name="TOTAL WEIGHT" dataDxfId="53"/>
    <tableColumn id="5" xr3:uid="{93B6DE4C-8A58-7748-9D51-84A21455D1E3}" name="Pounds" dataDxfId="52"/>
    <tableColumn id="6" xr3:uid="{1FF52627-E542-F749-AFE4-6FB532EF33DA}" name="Ounces" dataDxfId="51"/>
    <tableColumn id="7" xr3:uid="{2DE9719D-1D61-8244-ACB7-778006D51D9C}" name="POINTS" dataDxfId="50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38E8BC0-D7AE-4B4A-B984-8D5011486902}" name="LkGrgResults" displayName="LkGrgResults" ref="A1:G20" totalsRowShown="0" headerRowDxfId="49" dataDxfId="47" headerRowBorderDxfId="48" tableBorderDxfId="46">
  <autoFilter ref="A1:G20" xr:uid="{F38E8BC0-D7AE-4B4A-B984-8D5011486902}"/>
  <tableColumns count="7">
    <tableColumn id="1" xr3:uid="{35EF6FA7-F017-8247-8A76-8C9629871FBE}" name="NAME" dataDxfId="45"/>
    <tableColumn id="2" xr3:uid="{75953F16-0936-9D4D-98B2-7A24194EABFD}" name="PLACE" dataDxfId="44"/>
    <tableColumn id="3" xr3:uid="{3B84840E-783D-9143-9759-574E018278F7}" name="FISH" dataDxfId="43"/>
    <tableColumn id="4" xr3:uid="{EBA17140-21EB-9C46-A5A2-30B1D0465938}" name="TOTAL WEIGHT" dataDxfId="42"/>
    <tableColumn id="5" xr3:uid="{2C6DF268-CBDC-B347-931F-22C100D9DC29}" name="Pounds" dataDxfId="41"/>
    <tableColumn id="6" xr3:uid="{A91F152A-0B58-6C4D-BC96-EE2E14E6B914}" name="Ounces" dataDxfId="40"/>
    <tableColumn id="7" xr3:uid="{A4A4D26D-DCAD-1046-987C-96B13FEEA573}" name="POINTS" dataDxfId="39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BEDCD86-FF71-184A-B526-41355A8CC822}" name="ChampResults" displayName="ChampResults" ref="A1:G19" totalsRowShown="0" headerRowDxfId="38" dataDxfId="36" headerRowBorderDxfId="37" tableBorderDxfId="35">
  <autoFilter ref="A1:G19" xr:uid="{0BEDCD86-FF71-184A-B526-41355A8CC822}"/>
  <tableColumns count="7">
    <tableColumn id="1" xr3:uid="{B61511C5-241E-B445-A691-D2D70D1933F1}" name="NAME" dataDxfId="34"/>
    <tableColumn id="2" xr3:uid="{35A96766-3BE1-E04D-9B38-83D1B3206698}" name="PLACE" dataDxfId="33"/>
    <tableColumn id="3" xr3:uid="{1AFDEAC9-89BD-0C4A-9A3C-B3E9DC634921}" name="FISH" dataDxfId="32"/>
    <tableColumn id="4" xr3:uid="{D5462D29-1205-D64B-B437-A7B99A3CB52D}" name="TOTAL WEIGHT" dataDxfId="31"/>
    <tableColumn id="5" xr3:uid="{6073D9AA-E603-3D44-A7F1-F9F4EAC78246}" name="Pounds" dataDxfId="30"/>
    <tableColumn id="6" xr3:uid="{CD3B3AB4-3FD7-E240-87EB-8EAC020F90F7}" name="Ounces" dataDxfId="29"/>
    <tableColumn id="7" xr3:uid="{09F4B402-B78B-B244-82A6-2D120BA2D6F3}" name="POINTS" dataDxfId="28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8C9177C-3F69-6444-BDA5-C2C5BDB3642D}" name="BuelResults" displayName="BuelResults" ref="A1:G19" totalsRowShown="0" headerRowDxfId="27" dataDxfId="25" headerRowBorderDxfId="26" tableBorderDxfId="24">
  <autoFilter ref="A1:G19" xr:uid="{B8C9177C-3F69-6444-BDA5-C2C5BDB3642D}"/>
  <tableColumns count="7">
    <tableColumn id="1" xr3:uid="{5ED0A90B-3FCA-2B42-8FE8-41729EFDF458}" name="NAME" dataDxfId="23"/>
    <tableColumn id="2" xr3:uid="{6B763EA8-EFBC-764B-AB2A-766E994015F9}" name="PLACE" dataDxfId="22"/>
    <tableColumn id="3" xr3:uid="{0AC806A7-657B-8140-9431-AB922E29E0CB}" name="FISH" dataDxfId="21"/>
    <tableColumn id="4" xr3:uid="{758EA037-ADC7-AD40-8092-C60FFD490109}" name="TOTAL WEIGHT" dataDxfId="20"/>
    <tableColumn id="5" xr3:uid="{143E4DFB-6FD1-5041-8299-29BC0D4DA0DB}" name="Pounds" dataDxfId="19"/>
    <tableColumn id="6" xr3:uid="{BEBFEBA2-4BFF-7E42-8A4B-26DA44FADC4C}" name="Ounces" dataDxfId="18"/>
    <tableColumn id="7" xr3:uid="{F2BF2EB8-E11C-B44B-A63B-FAF72D50C621}" name="POINTS" dataDxfId="17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F9B01F9-A670-E549-B9B5-D33B73CB027E}" name="SaraResults" displayName="SaraResults" ref="A1:G19" totalsRowShown="0" headerRowDxfId="16" dataDxfId="15" headerRowBorderDxfId="13" tableBorderDxfId="14">
  <autoFilter ref="A1:G19" xr:uid="{BF9B01F9-A670-E549-B9B5-D33B73CB027E}"/>
  <tableColumns count="7">
    <tableColumn id="1" xr3:uid="{76A99357-9640-704A-BECD-BEE17B796671}" name="NAME" dataDxfId="12"/>
    <tableColumn id="2" xr3:uid="{065BBB5F-29C6-EC4C-84B4-9B725D90E856}" name="PLACE" dataDxfId="11"/>
    <tableColumn id="3" xr3:uid="{F4A2B08A-08FF-C345-8730-4655F6E6DE43}" name="FISH" dataDxfId="10"/>
    <tableColumn id="4" xr3:uid="{59FEDCD8-046E-6E4F-A85E-ACDF3BA76C0C}" name="TOTAL WEIGHT" dataDxfId="9"/>
    <tableColumn id="5" xr3:uid="{F99BC9A5-5EC6-764D-B6AA-F3406182E01B}" name="Pounds" dataDxfId="8"/>
    <tableColumn id="6" xr3:uid="{1C1E0E84-DCCE-C94E-881A-8A232B4DFEF7}" name="Ounces" dataDxfId="7"/>
    <tableColumn id="7" xr3:uid="{7A5034BF-19F2-424A-AEC2-975D1F88ABB8}" name="POINTS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6CD8A-1905-CE42-A3C8-401D5350C90B}">
  <dimension ref="A1:AB24"/>
  <sheetViews>
    <sheetView topLeftCell="A7" zoomScaleNormal="100" workbookViewId="0">
      <pane xSplit="1" topLeftCell="K1" activePane="topRight" state="frozen"/>
      <selection pane="topRight" activeCell="H12" activeCellId="2" sqref="B12 E12 H12"/>
    </sheetView>
  </sheetViews>
  <sheetFormatPr baseColWidth="10" defaultColWidth="11.1640625" defaultRowHeight="16" x14ac:dyDescent="0.2"/>
  <cols>
    <col min="1" max="1" width="19.6640625" bestFit="1" customWidth="1"/>
    <col min="2" max="7" width="12" style="4" customWidth="1"/>
    <col min="21" max="23" width="10.83203125" customWidth="1"/>
    <col min="24" max="24" width="19.1640625" customWidth="1"/>
  </cols>
  <sheetData>
    <row r="1" spans="1:28" s="4" customFormat="1" ht="84" x14ac:dyDescent="0.2">
      <c r="A1" s="8" t="s">
        <v>21</v>
      </c>
      <c r="B1" s="8" t="s">
        <v>49</v>
      </c>
      <c r="C1" s="8" t="s">
        <v>48</v>
      </c>
      <c r="D1" s="8" t="s">
        <v>60</v>
      </c>
      <c r="E1" s="8" t="s">
        <v>50</v>
      </c>
      <c r="F1" s="8" t="s">
        <v>51</v>
      </c>
      <c r="G1" s="8" t="s">
        <v>61</v>
      </c>
      <c r="H1" s="8" t="s">
        <v>52</v>
      </c>
      <c r="I1" s="8" t="s">
        <v>62</v>
      </c>
      <c r="J1" s="8" t="s">
        <v>66</v>
      </c>
      <c r="K1" s="8" t="s">
        <v>63</v>
      </c>
      <c r="L1" s="8" t="s">
        <v>53</v>
      </c>
      <c r="M1" s="8" t="s">
        <v>67</v>
      </c>
      <c r="N1" s="8" t="s">
        <v>54</v>
      </c>
      <c r="O1" s="8" t="s">
        <v>55</v>
      </c>
      <c r="P1" s="8" t="s">
        <v>68</v>
      </c>
      <c r="Q1" s="8" t="s">
        <v>56</v>
      </c>
      <c r="R1" s="8" t="s">
        <v>57</v>
      </c>
      <c r="S1" s="8" t="s">
        <v>69</v>
      </c>
      <c r="T1" s="8" t="s">
        <v>109</v>
      </c>
      <c r="U1" s="8" t="s">
        <v>110</v>
      </c>
      <c r="V1" s="8" t="s">
        <v>111</v>
      </c>
      <c r="W1" s="13" t="s">
        <v>58</v>
      </c>
      <c r="X1" s="14" t="s">
        <v>59</v>
      </c>
      <c r="Y1" s="14" t="s">
        <v>71</v>
      </c>
      <c r="Z1" s="14" t="s">
        <v>72</v>
      </c>
      <c r="AA1" s="14" t="s">
        <v>73</v>
      </c>
      <c r="AB1" s="15" t="s">
        <v>64</v>
      </c>
    </row>
    <row r="2" spans="1:28" ht="42" x14ac:dyDescent="0.2">
      <c r="A2" s="17" t="s">
        <v>47</v>
      </c>
      <c r="B2" s="9">
        <f>VLOOKUP(Table3[[#This Row],[Name]],Table1[],5,FALSE)</f>
        <v>11</v>
      </c>
      <c r="C2" s="9">
        <f>VLOOKUP(Table3[[#This Row],[Name]],Table1[],6,FALSE)</f>
        <v>15.6</v>
      </c>
      <c r="D2" s="9">
        <f>VLOOKUP(Table3[[#This Row],[Name]],Table1[],7,FALSE)</f>
        <v>25</v>
      </c>
      <c r="E2" s="9">
        <f>VLOOKUP(Table3[[#This Row],[Name]],Table2[],5,FALSE)</f>
        <v>7</v>
      </c>
      <c r="F2" s="9">
        <f>VLOOKUP(Table3[[#This Row],[Name]],Table2[],6,FALSE)</f>
        <v>1</v>
      </c>
      <c r="G2" s="9">
        <f>VLOOKUP(Table3[[#This Row],[Name]],Table2[#All],7,FALSE)</f>
        <v>26</v>
      </c>
      <c r="H2" s="9">
        <f>VLOOKUP(Table3[[#This Row],[Name]],Table4[],5,FALSE)</f>
        <v>15</v>
      </c>
      <c r="I2" s="9">
        <f>VLOOKUP(Table3[[#This Row],[Name]],Table4[],6,FALSE)</f>
        <v>2</v>
      </c>
      <c r="J2" s="9">
        <f>VLOOKUP(Table3[[#This Row],[Name]],Table4[],7,FALSE)</f>
        <v>28</v>
      </c>
      <c r="K2" s="9">
        <f>VLOOKUP(Table3[[#This Row],[Name]],LkGrgResults[],5,FALSE)</f>
        <v>15</v>
      </c>
      <c r="L2" s="9">
        <f>VLOOKUP(Table3[[#This Row],[Name]],LkGrgResults[],6,FALSE)</f>
        <v>14.2</v>
      </c>
      <c r="M2" s="9">
        <f>VLOOKUP(Table3[[#This Row],[Name]],LkGrgResults[],7,FALSE)</f>
        <v>28</v>
      </c>
      <c r="N2" s="9">
        <f>VLOOKUP(Table3[[#This Row],[Name]],ChampResults[],5,FALSE)</f>
        <v>9</v>
      </c>
      <c r="O2" s="9">
        <f>VLOOKUP(Table3[[#This Row],[Name]],ChampResults[],6,FALSE)</f>
        <v>1.8</v>
      </c>
      <c r="P2" s="9">
        <f>VLOOKUP(Table3[[#This Row],[Name]],ChampResults[],7,FALSE)</f>
        <v>25</v>
      </c>
      <c r="Q2" s="9">
        <f>VLOOKUP(Table3[[#This Row],[Name]],BuelResults[],5,FALSE)</f>
        <v>7</v>
      </c>
      <c r="R2" s="9">
        <f>VLOOKUP(Table3[[#This Row],[Name]],BuelResults[],6,FALSE)</f>
        <v>10.6</v>
      </c>
      <c r="S2" s="9">
        <f>VLOOKUP(Table3[[#This Row],[Name]],BuelResults[],7,FALSE)</f>
        <v>25</v>
      </c>
      <c r="T2" s="9">
        <f>VLOOKUP(Table3[[#This Row],[Name]],SaraResults[],5,FALSE)</f>
        <v>8</v>
      </c>
      <c r="U2" s="9">
        <f>VLOOKUP(Table3[[#This Row],[Name]],SaraResults[],6,FALSE)</f>
        <v>15.4</v>
      </c>
      <c r="V2" s="9">
        <f>VLOOKUP(Table3[[#This Row],[Name]],SaraResults[],7,FALSE)</f>
        <v>28</v>
      </c>
      <c r="W2" s="16">
        <f>Table3[[#This Row],[Tour'#1 Lbs]]+Table3[[#This Row],[Tour'#2 Lbs]]+Table3[[#This Row],[Tour'#3 Lbs]]+Table3[[#This Row],[Tour'#4 Lbs]]+Table3[[#This Row],[Tour'#5 Lbs]]+Table3[[#This Row],[Tour'#6 Lbs]]+Table3[[#This Row],[Champ Lbs]]</f>
        <v>72</v>
      </c>
      <c r="X2" s="49">
        <f>Table3[[#This Row],[Tour'#1 Oz]]+Table3[[#This Row],[Tour'#2 Oz]]+Table3[[#This Row],[Tour'#3 Oz]]+Table3[[#This Row],[Tour'#4 Oz]]+Table3[[#This Row],[Tour'#5 Oz]]+Table3[[#This Row],[Tour'#6 Oz]]+Table3[[#This Row],[Champ Oz]]</f>
        <v>60.599999999999994</v>
      </c>
      <c r="Y2" s="50">
        <f>IF((Table3[[#This Row],[Total oz]])&gt;=16,ROUNDDOWN((Table3[[#This Row],[Total oz]]/16),0), )</f>
        <v>3</v>
      </c>
      <c r="Z2" s="50">
        <f>IF(Table3[[#This Row],[oz to lbs]]&gt;=1,(Table3[[#This Row],[Total oz]]-(16*Table3[[#This Row],[oz to lbs]])),0)</f>
        <v>12.599999999999994</v>
      </c>
      <c r="AA2" s="51" t="str">
        <f>_xlfn.CONCAT(Table3[[#This Row],[Total Lbs]]+Table3[[#This Row],[oz to lbs]]," lbs ",IF(Table3[[#This Row],[oz to lbs]]&gt;0,ROUND(Table3[[#This Row],[Converted Total Oz]],1),Table3[[#This Row],[Total oz]]), " oz")</f>
        <v>75 lbs 12.6 oz</v>
      </c>
      <c r="AB2" s="18">
        <f>Table3[[#This Row],[Tour'#1 Pts]]+Table3[[#This Row],[Tour'#2 Pts]]+Table3[[#This Row],[Tour'#3 Pts2]]+Table3[[#This Row],[Tour'#4 Pts2]]+Table3[[#This Row],[Tour'#5 Pts2]]+Table3[[#This Row],[Tour'#6 Pts]]+Table3[[#This Row],[Champ Pts]]</f>
        <v>185</v>
      </c>
    </row>
    <row r="3" spans="1:28" ht="42" x14ac:dyDescent="0.2">
      <c r="A3" s="17" t="s">
        <v>44</v>
      </c>
      <c r="B3" s="9">
        <f>VLOOKUP(Table3[[#This Row],[Name]],Table1[],5,FALSE)</f>
        <v>1</v>
      </c>
      <c r="C3" s="9">
        <f>VLOOKUP(Table3[[#This Row],[Name]],Table1[],6,FALSE)</f>
        <v>15</v>
      </c>
      <c r="D3" s="9">
        <f>VLOOKUP(Table3[[#This Row],[Name]],Table1[],7,FALSE)</f>
        <v>15</v>
      </c>
      <c r="E3" s="9">
        <f>VLOOKUP(Table3[[#This Row],[Name]],Table2[],5,FALSE)</f>
        <v>3</v>
      </c>
      <c r="F3" s="9">
        <f>VLOOKUP(Table3[[#This Row],[Name]],Table2[],6,FALSE)</f>
        <v>12</v>
      </c>
      <c r="G3" s="9">
        <f>VLOOKUP(Table3[[#This Row],[Name]],Table2[#All],7,FALSE)</f>
        <v>22</v>
      </c>
      <c r="H3" s="9">
        <f>VLOOKUP(Table3[[#This Row],[Name]],Table4[],5,FALSE)</f>
        <v>10</v>
      </c>
      <c r="I3" s="9">
        <f>VLOOKUP(Table3[[#This Row],[Name]],Table4[],6,FALSE)</f>
        <v>8.1999999999999993</v>
      </c>
      <c r="J3" s="9">
        <f>VLOOKUP(Table3[[#This Row],[Name]],Table4[],7,FALSE)</f>
        <v>25</v>
      </c>
      <c r="K3" s="9">
        <f>VLOOKUP(Table3[[#This Row],[Name]],LkGrgResults[],5,FALSE)</f>
        <v>13</v>
      </c>
      <c r="L3" s="9">
        <f>VLOOKUP(Table3[[#This Row],[Name]],LkGrgResults[],6,FALSE)</f>
        <v>13.2</v>
      </c>
      <c r="M3" s="9">
        <f>VLOOKUP(Table3[[#This Row],[Name]],LkGrgResults[],7,FALSE)</f>
        <v>26</v>
      </c>
      <c r="N3" s="9">
        <f>VLOOKUP(Table3[[#This Row],[Name]],ChampResults[],5,FALSE)</f>
        <v>6</v>
      </c>
      <c r="O3" s="9">
        <f>VLOOKUP(Table3[[#This Row],[Name]],ChampResults[],6,FALSE)</f>
        <v>9.1999999999999993</v>
      </c>
      <c r="P3" s="9">
        <f>VLOOKUP(Table3[[#This Row],[Name]],ChampResults[],7,FALSE)</f>
        <v>23</v>
      </c>
      <c r="Q3" s="9">
        <f>VLOOKUP(Table3[[#This Row],[Name]],BuelResults[],5,FALSE)</f>
        <v>8</v>
      </c>
      <c r="R3" s="9">
        <f>VLOOKUP(Table3[[#This Row],[Name]],BuelResults[],6,FALSE)</f>
        <v>15.4</v>
      </c>
      <c r="S3" s="9">
        <f>VLOOKUP(Table3[[#This Row],[Name]],BuelResults[],7,FALSE)</f>
        <v>27</v>
      </c>
      <c r="T3" s="9">
        <f>VLOOKUP(Table3[[#This Row],[Name]],SaraResults[],5,FALSE)</f>
        <v>7</v>
      </c>
      <c r="U3" s="9">
        <f>VLOOKUP(Table3[[#This Row],[Name]],SaraResults[],6,FALSE)</f>
        <v>10.4</v>
      </c>
      <c r="V3" s="9">
        <f>VLOOKUP(Table3[[#This Row],[Name]],SaraResults[],7,FALSE)</f>
        <v>25</v>
      </c>
      <c r="W3" s="16">
        <f>Table3[[#This Row],[Tour'#1 Lbs]]+Table3[[#This Row],[Tour'#2 Lbs]]+Table3[[#This Row],[Tour'#3 Lbs]]+Table3[[#This Row],[Tour'#4 Lbs]]+Table3[[#This Row],[Tour'#5 Lbs]]+Table3[[#This Row],[Tour'#6 Lbs]]+Table3[[#This Row],[Champ Lbs]]</f>
        <v>48</v>
      </c>
      <c r="X3" s="28">
        <f>Table3[[#This Row],[Tour'#1 Oz]]+Table3[[#This Row],[Tour'#2 Oz]]+Table3[[#This Row],[Tour'#3 Oz]]+Table3[[#This Row],[Tour'#4 Oz]]+Table3[[#This Row],[Tour'#5 Oz]]+Table3[[#This Row],[Tour'#6 Oz]]+Table3[[#This Row],[Champ Oz]]</f>
        <v>83.40000000000002</v>
      </c>
      <c r="Y3" s="29">
        <f>IF((Table3[[#This Row],[Total oz]])&gt;=16,ROUNDDOWN((Table3[[#This Row],[Total oz]]/16),0), )</f>
        <v>5</v>
      </c>
      <c r="Z3" s="29">
        <f>IF(Table3[[#This Row],[oz to lbs]]&gt;=1,(Table3[[#This Row],[Total oz]]-(16*Table3[[#This Row],[oz to lbs]])),0)</f>
        <v>3.4000000000000199</v>
      </c>
      <c r="AA3" s="30" t="str">
        <f>_xlfn.CONCAT(Table3[[#This Row],[Total Lbs]]+Table3[[#This Row],[oz to lbs]]," lbs ",IF(Table3[[#This Row],[oz to lbs]]&gt;0,ROUND(Table3[[#This Row],[Converted Total Oz]],1),Table3[[#This Row],[Total oz]]), " oz")</f>
        <v>53 lbs 3.4 oz</v>
      </c>
      <c r="AB3" s="18">
        <f>Table3[[#This Row],[Tour'#1 Pts]]+Table3[[#This Row],[Tour'#2 Pts]]+Table3[[#This Row],[Tour'#3 Pts2]]+Table3[[#This Row],[Tour'#4 Pts2]]+Table3[[#This Row],[Tour'#5 Pts2]]+Table3[[#This Row],[Tour'#6 Pts]]+Table3[[#This Row],[Champ Pts]]</f>
        <v>163</v>
      </c>
    </row>
    <row r="4" spans="1:28" ht="42" x14ac:dyDescent="0.2">
      <c r="A4" s="17" t="s">
        <v>45</v>
      </c>
      <c r="B4" s="9">
        <f>VLOOKUP(Table3[[#This Row],[Name]],Table1[],5,FALSE)</f>
        <v>2</v>
      </c>
      <c r="C4" s="9">
        <f>VLOOKUP(Table3[[#This Row],[Name]],Table1[],6,FALSE)</f>
        <v>7.6</v>
      </c>
      <c r="D4" s="9">
        <f>VLOOKUP(Table3[[#This Row],[Name]],Table1[],7,FALSE)</f>
        <v>16</v>
      </c>
      <c r="E4" s="9">
        <f>VLOOKUP(Table3[[#This Row],[Name]],Table2[],5,FALSE)</f>
        <v>4</v>
      </c>
      <c r="F4" s="9">
        <f>VLOOKUP(Table3[[#This Row],[Name]],Table2[],6,FALSE)</f>
        <v>8.6</v>
      </c>
      <c r="G4" s="9">
        <f>VLOOKUP(Table3[[#This Row],[Name]],Table2[#All],7,FALSE)</f>
        <v>24</v>
      </c>
      <c r="H4" s="9">
        <f>VLOOKUP(Table3[[#This Row],[Name]],Table4[],5,FALSE)</f>
        <v>7</v>
      </c>
      <c r="I4" s="9">
        <f>VLOOKUP(Table3[[#This Row],[Name]],Table4[],6,FALSE)</f>
        <v>14.4</v>
      </c>
      <c r="J4" s="9">
        <f>VLOOKUP(Table3[[#This Row],[Name]],Table4[],7,FALSE)</f>
        <v>20</v>
      </c>
      <c r="K4" s="9">
        <f>VLOOKUP(Table3[[#This Row],[Name]],LkGrgResults[],5,FALSE)</f>
        <v>10</v>
      </c>
      <c r="L4" s="9">
        <f>VLOOKUP(Table3[[#This Row],[Name]],LkGrgResults[],6,FALSE)</f>
        <v>13.6</v>
      </c>
      <c r="M4" s="9">
        <f>VLOOKUP(Table3[[#This Row],[Name]],LkGrgResults[],7,FALSE)</f>
        <v>24</v>
      </c>
      <c r="N4" s="9">
        <f>VLOOKUP(Table3[[#This Row],[Name]],ChampResults[],5,FALSE)</f>
        <v>3</v>
      </c>
      <c r="O4" s="9">
        <f>VLOOKUP(Table3[[#This Row],[Name]],ChampResults[],6,FALSE)</f>
        <v>8</v>
      </c>
      <c r="P4" s="9">
        <f>VLOOKUP(Table3[[#This Row],[Name]],ChampResults[],7,FALSE)</f>
        <v>20</v>
      </c>
      <c r="Q4" s="9">
        <f>VLOOKUP(Table3[[#This Row],[Name]],BuelResults[],5,FALSE)</f>
        <v>5</v>
      </c>
      <c r="R4" s="9">
        <f>VLOOKUP(Table3[[#This Row],[Name]],BuelResults[],6,FALSE)</f>
        <v>12.8</v>
      </c>
      <c r="S4" s="9">
        <f>VLOOKUP(Table3[[#This Row],[Name]],BuelResults[],7,FALSE)</f>
        <v>23</v>
      </c>
      <c r="T4" s="9">
        <f>VLOOKUP(Table3[[#This Row],[Name]],SaraResults[],5,FALSE)</f>
        <v>10</v>
      </c>
      <c r="U4" s="9">
        <f>VLOOKUP(Table3[[#This Row],[Name]],SaraResults[],6,FALSE)</f>
        <v>13.8</v>
      </c>
      <c r="V4" s="9">
        <f>VLOOKUP(Table3[[#This Row],[Name]],SaraResults[],7,FALSE)</f>
        <v>31</v>
      </c>
      <c r="W4" s="16">
        <f>Table3[[#This Row],[Tour'#1 Lbs]]+Table3[[#This Row],[Tour'#2 Lbs]]+Table3[[#This Row],[Tour'#3 Lbs]]+Table3[[#This Row],[Tour'#4 Lbs]]+Table3[[#This Row],[Tour'#5 Lbs]]+Table3[[#This Row],[Tour'#6 Lbs]]+Table3[[#This Row],[Champ Lbs]]</f>
        <v>41</v>
      </c>
      <c r="X4" s="28">
        <f>Table3[[#This Row],[Tour'#1 Oz]]+Table3[[#This Row],[Tour'#2 Oz]]+Table3[[#This Row],[Tour'#3 Oz]]+Table3[[#This Row],[Tour'#4 Oz]]+Table3[[#This Row],[Tour'#5 Oz]]+Table3[[#This Row],[Tour'#6 Oz]]+Table3[[#This Row],[Champ Oz]]</f>
        <v>78.8</v>
      </c>
      <c r="Y4" s="29">
        <f>IF((Table3[[#This Row],[Total oz]])&gt;=16,ROUNDDOWN((Table3[[#This Row],[Total oz]]/16),0), )</f>
        <v>4</v>
      </c>
      <c r="Z4" s="29">
        <f>IF(Table3[[#This Row],[oz to lbs]]&gt;=1,(Table3[[#This Row],[Total oz]]-(16*Table3[[#This Row],[oz to lbs]])),0)</f>
        <v>14.799999999999997</v>
      </c>
      <c r="AA4" s="30" t="str">
        <f>_xlfn.CONCAT(Table3[[#This Row],[Total Lbs]]+Table3[[#This Row],[oz to lbs]]," lbs ",IF(Table3[[#This Row],[oz to lbs]]&gt;0,ROUND(Table3[[#This Row],[Converted Total Oz]],1),Table3[[#This Row],[Total oz]]), " oz")</f>
        <v>45 lbs 14.8 oz</v>
      </c>
      <c r="AB4" s="18">
        <f>Table3[[#This Row],[Tour'#1 Pts]]+Table3[[#This Row],[Tour'#2 Pts]]+Table3[[#This Row],[Tour'#3 Pts2]]+Table3[[#This Row],[Tour'#4 Pts2]]+Table3[[#This Row],[Tour'#5 Pts2]]+Table3[[#This Row],[Tour'#6 Pts]]+Table3[[#This Row],[Champ Pts]]</f>
        <v>158</v>
      </c>
    </row>
    <row r="5" spans="1:28" ht="42" x14ac:dyDescent="0.2">
      <c r="A5" s="17" t="s">
        <v>46</v>
      </c>
      <c r="B5" s="9">
        <f>VLOOKUP(Table3[[#This Row],[Name]],Table1[],5,FALSE)</f>
        <v>10</v>
      </c>
      <c r="C5" s="9">
        <f>VLOOKUP(Table3[[#This Row],[Name]],Table1[],6,FALSE)</f>
        <v>1.2</v>
      </c>
      <c r="D5" s="9">
        <f>VLOOKUP(Table3[[#This Row],[Name]],Table1[],7,FALSE)</f>
        <v>22</v>
      </c>
      <c r="E5" s="9">
        <f>VLOOKUP(Table3[[#This Row],[Name]],Table2[],5,FALSE)</f>
        <v>7</v>
      </c>
      <c r="F5" s="9">
        <f>VLOOKUP(Table3[[#This Row],[Name]],Table2[],6,FALSE)</f>
        <v>4.5999999999999996</v>
      </c>
      <c r="G5" s="9">
        <f>VLOOKUP(Table3[[#This Row],[Name]],Table2[#All],7,FALSE)</f>
        <v>27</v>
      </c>
      <c r="H5" s="9">
        <f>VLOOKUP(Table3[[#This Row],[Name]],Table4[],5,FALSE)</f>
        <v>9</v>
      </c>
      <c r="I5" s="9">
        <f>VLOOKUP(Table3[[#This Row],[Name]],Table4[],6,FALSE)</f>
        <v>5.6</v>
      </c>
      <c r="J5" s="9">
        <f>VLOOKUP(Table3[[#This Row],[Name]],Table4[],7,FALSE)</f>
        <v>22</v>
      </c>
      <c r="K5" s="9">
        <f>VLOOKUP(Table3[[#This Row],[Name]],LkGrgResults[],5,FALSE)</f>
        <v>0</v>
      </c>
      <c r="L5" s="9">
        <f>VLOOKUP(Table3[[#This Row],[Name]],LkGrgResults[],6,FALSE)</f>
        <v>0</v>
      </c>
      <c r="M5" s="9">
        <f>VLOOKUP(Table3[[#This Row],[Name]],LkGrgResults[],7,FALSE)</f>
        <v>0</v>
      </c>
      <c r="N5" s="9">
        <f>VLOOKUP(Table3[[#This Row],[Name]],ChampResults[],5,FALSE)</f>
        <v>16</v>
      </c>
      <c r="O5" s="9">
        <f>VLOOKUP(Table3[[#This Row],[Name]],ChampResults[],6,FALSE)</f>
        <v>10.4</v>
      </c>
      <c r="P5" s="9">
        <f>VLOOKUP(Table3[[#This Row],[Name]],ChampResults[],7,FALSE)</f>
        <v>27</v>
      </c>
      <c r="Q5" s="9">
        <f>VLOOKUP(Table3[[#This Row],[Name]],BuelResults[],5,FALSE)</f>
        <v>5</v>
      </c>
      <c r="R5" s="9">
        <f>VLOOKUP(Table3[[#This Row],[Name]],BuelResults[],6,FALSE)</f>
        <v>7.2</v>
      </c>
      <c r="S5" s="9">
        <f>VLOOKUP(Table3[[#This Row],[Name]],BuelResults[],7,FALSE)</f>
        <v>22</v>
      </c>
      <c r="T5" s="9">
        <f>VLOOKUP(Table3[[#This Row],[Name]],SaraResults[],5,FALSE)</f>
        <v>8</v>
      </c>
      <c r="U5" s="9">
        <f>VLOOKUP(Table3[[#This Row],[Name]],SaraResults[],6,FALSE)</f>
        <v>13.2</v>
      </c>
      <c r="V5" s="9">
        <f>VLOOKUP(Table3[[#This Row],[Name]],SaraResults[],7,FALSE)</f>
        <v>27</v>
      </c>
      <c r="W5" s="16">
        <f>Table3[[#This Row],[Tour'#1 Lbs]]+Table3[[#This Row],[Tour'#2 Lbs]]+Table3[[#This Row],[Tour'#3 Lbs]]+Table3[[#This Row],[Tour'#4 Lbs]]+Table3[[#This Row],[Tour'#5 Lbs]]+Table3[[#This Row],[Tour'#6 Lbs]]+Table3[[#This Row],[Champ Lbs]]</f>
        <v>55</v>
      </c>
      <c r="X5" s="28">
        <f>Table3[[#This Row],[Tour'#1 Oz]]+Table3[[#This Row],[Tour'#2 Oz]]+Table3[[#This Row],[Tour'#3 Oz]]+Table3[[#This Row],[Tour'#4 Oz]]+Table3[[#This Row],[Tour'#5 Oz]]+Table3[[#This Row],[Tour'#6 Oz]]+Table3[[#This Row],[Champ Oz]]</f>
        <v>42.199999999999996</v>
      </c>
      <c r="Y5" s="29">
        <f>IF((Table3[[#This Row],[Total oz]])&gt;=16,ROUNDDOWN((Table3[[#This Row],[Total oz]]/16),0), )</f>
        <v>2</v>
      </c>
      <c r="Z5" s="29">
        <f>IF(Table3[[#This Row],[oz to lbs]]&gt;=1,(Table3[[#This Row],[Total oz]]-(16*Table3[[#This Row],[oz to lbs]])),0)</f>
        <v>10.199999999999996</v>
      </c>
      <c r="AA5" s="30" t="str">
        <f>_xlfn.CONCAT(Table3[[#This Row],[Total Lbs]]+Table3[[#This Row],[oz to lbs]]," lbs ",IF(Table3[[#This Row],[oz to lbs]]&gt;0,ROUND(Table3[[#This Row],[Converted Total Oz]],1),Table3[[#This Row],[Total oz]]), " oz")</f>
        <v>57 lbs 10.2 oz</v>
      </c>
      <c r="AB5" s="18">
        <f>Table3[[#This Row],[Tour'#1 Pts]]+Table3[[#This Row],[Tour'#2 Pts]]+Table3[[#This Row],[Tour'#3 Pts2]]+Table3[[#This Row],[Tour'#4 Pts2]]+Table3[[#This Row],[Tour'#5 Pts2]]+Table3[[#This Row],[Tour'#6 Pts]]+Table3[[#This Row],[Champ Pts]]</f>
        <v>147</v>
      </c>
    </row>
    <row r="6" spans="1:28" ht="42" x14ac:dyDescent="0.2">
      <c r="A6" s="17" t="s">
        <v>41</v>
      </c>
      <c r="B6" s="9">
        <f>VLOOKUP(Table3[[#This Row],[Name]],Table1[],5,FALSE)</f>
        <v>16</v>
      </c>
      <c r="C6" s="9">
        <f>VLOOKUP(Table3[[#This Row],[Name]],Table1[],6,FALSE)</f>
        <v>15.8</v>
      </c>
      <c r="D6" s="9">
        <f>VLOOKUP(Table3[[#This Row],[Name]],Table1[],7,FALSE)</f>
        <v>28</v>
      </c>
      <c r="E6" s="9">
        <f>VLOOKUP(Table3[[#This Row],[Name]],Table2[],5,FALSE)</f>
        <v>0</v>
      </c>
      <c r="F6" s="9">
        <f>VLOOKUP(Table3[[#This Row],[Name]],Table2[],6,FALSE)</f>
        <v>0</v>
      </c>
      <c r="G6" s="9">
        <f>VLOOKUP(Table3[[#This Row],[Name]],Table2[#All],7,FALSE)</f>
        <v>0</v>
      </c>
      <c r="H6" s="9">
        <f>VLOOKUP(Table3[[#This Row],[Name]],Table4[],5,FALSE)</f>
        <v>0</v>
      </c>
      <c r="I6" s="9">
        <f>VLOOKUP(Table3[[#This Row],[Name]],Table4[],6,FALSE)</f>
        <v>0</v>
      </c>
      <c r="J6" s="9">
        <f>VLOOKUP(Table3[[#This Row],[Name]],Table4[],7,FALSE)</f>
        <v>0</v>
      </c>
      <c r="K6" s="9">
        <f>VLOOKUP(Table3[[#This Row],[Name]],LkGrgResults[],5,FALSE)</f>
        <v>14</v>
      </c>
      <c r="L6" s="9">
        <f>VLOOKUP(Table3[[#This Row],[Name]],LkGrgResults[],6,FALSE)</f>
        <v>11.6</v>
      </c>
      <c r="M6" s="9">
        <f>VLOOKUP(Table3[[#This Row],[Name]],LkGrgResults[],7,FALSE)</f>
        <v>27</v>
      </c>
      <c r="N6" s="9">
        <f>VLOOKUP(Table3[[#This Row],[Name]],ChampResults[],5,FALSE)</f>
        <v>14</v>
      </c>
      <c r="O6" s="9">
        <f>VLOOKUP(Table3[[#This Row],[Name]],ChampResults[],6,FALSE)</f>
        <v>2.6</v>
      </c>
      <c r="P6" s="9">
        <f>VLOOKUP(Table3[[#This Row],[Name]],ChampResults[],7,FALSE)</f>
        <v>26</v>
      </c>
      <c r="Q6" s="9">
        <f>VLOOKUP(Table3[[#This Row],[Name]],BuelResults[],5,FALSE)</f>
        <v>13</v>
      </c>
      <c r="R6" s="9">
        <f>VLOOKUP(Table3[[#This Row],[Name]],BuelResults[],6,FALSE)</f>
        <v>15.4</v>
      </c>
      <c r="S6" s="9">
        <f>VLOOKUP(Table3[[#This Row],[Name]],BuelResults[],7,FALSE)</f>
        <v>28</v>
      </c>
      <c r="T6" s="9">
        <f>VLOOKUP(Table3[[#This Row],[Name]],SaraResults[],5,FALSE)</f>
        <v>10</v>
      </c>
      <c r="U6" s="9">
        <f>VLOOKUP(Table3[[#This Row],[Name]],SaraResults[],6,FALSE)</f>
        <v>2.4</v>
      </c>
      <c r="V6" s="9">
        <f>VLOOKUP(Table3[[#This Row],[Name]],SaraResults[],7,FALSE)</f>
        <v>30</v>
      </c>
      <c r="W6" s="16">
        <f>Table3[[#This Row],[Tour'#1 Lbs]]+Table3[[#This Row],[Tour'#2 Lbs]]+Table3[[#This Row],[Tour'#3 Lbs]]+Table3[[#This Row],[Tour'#4 Lbs]]+Table3[[#This Row],[Tour'#5 Lbs]]+Table3[[#This Row],[Tour'#6 Lbs]]+Table3[[#This Row],[Champ Lbs]]</f>
        <v>67</v>
      </c>
      <c r="X6" s="28">
        <f>Table3[[#This Row],[Tour'#1 Oz]]+Table3[[#This Row],[Tour'#2 Oz]]+Table3[[#This Row],[Tour'#3 Oz]]+Table3[[#This Row],[Tour'#4 Oz]]+Table3[[#This Row],[Tour'#5 Oz]]+Table3[[#This Row],[Tour'#6 Oz]]+Table3[[#This Row],[Champ Oz]]</f>
        <v>47.8</v>
      </c>
      <c r="Y6" s="29">
        <f>IF((Table3[[#This Row],[Total oz]])&gt;=16,ROUNDDOWN((Table3[[#This Row],[Total oz]]/16),0), )</f>
        <v>2</v>
      </c>
      <c r="Z6" s="29">
        <f>IF(Table3[[#This Row],[oz to lbs]]&gt;=1,(Table3[[#This Row],[Total oz]]-(16*Table3[[#This Row],[oz to lbs]])),0)</f>
        <v>15.799999999999997</v>
      </c>
      <c r="AA6" s="30" t="str">
        <f>_xlfn.CONCAT(Table3[[#This Row],[Total Lbs]]+Table3[[#This Row],[oz to lbs]]," lbs ",IF(Table3[[#This Row],[oz to lbs]]&gt;0,ROUND(Table3[[#This Row],[Converted Total Oz]],1),Table3[[#This Row],[Total oz]]), " oz")</f>
        <v>69 lbs 15.8 oz</v>
      </c>
      <c r="AB6" s="18">
        <f>Table3[[#This Row],[Tour'#1 Pts]]+Table3[[#This Row],[Tour'#2 Pts]]+Table3[[#This Row],[Tour'#3 Pts2]]+Table3[[#This Row],[Tour'#4 Pts2]]+Table3[[#This Row],[Tour'#5 Pts2]]+Table3[[#This Row],[Tour'#6 Pts]]+Table3[[#This Row],[Champ Pts]]</f>
        <v>139</v>
      </c>
    </row>
    <row r="7" spans="1:28" ht="42" x14ac:dyDescent="0.2">
      <c r="A7" s="17" t="s">
        <v>38</v>
      </c>
      <c r="B7" s="9">
        <f>VLOOKUP(Table3[[#This Row],[Name]],Table1[],5,FALSE)</f>
        <v>8</v>
      </c>
      <c r="C7" s="9">
        <f>VLOOKUP(Table3[[#This Row],[Name]],Table1[],6,FALSE)</f>
        <v>8.8000000000000007</v>
      </c>
      <c r="D7" s="9">
        <f>VLOOKUP(Table3[[#This Row],[Name]],Table1[],7,FALSE)</f>
        <v>20</v>
      </c>
      <c r="E7" s="9">
        <f>VLOOKUP(Table3[[#This Row],[Name]],Table2[],5,FALSE)</f>
        <v>2</v>
      </c>
      <c r="F7" s="9">
        <f>VLOOKUP(Table3[[#This Row],[Name]],Table2[],6,FALSE)</f>
        <v>1</v>
      </c>
      <c r="G7" s="9">
        <f>VLOOKUP(Table3[[#This Row],[Name]],Table2[#All],7,FALSE)</f>
        <v>19</v>
      </c>
      <c r="H7" s="9">
        <f>VLOOKUP(Table3[[#This Row],[Name]],Table4[],5,FALSE)</f>
        <v>9</v>
      </c>
      <c r="I7" s="9">
        <f>VLOOKUP(Table3[[#This Row],[Name]],Table4[],6,FALSE)</f>
        <v>12.4</v>
      </c>
      <c r="J7" s="9">
        <f>VLOOKUP(Table3[[#This Row],[Name]],Table4[],7,FALSE)</f>
        <v>24</v>
      </c>
      <c r="K7" s="9">
        <f>VLOOKUP(Table3[[#This Row],[Name]],LkGrgResults[],5,FALSE)</f>
        <v>11</v>
      </c>
      <c r="L7" s="9">
        <f>VLOOKUP(Table3[[#This Row],[Name]],LkGrgResults[],6,FALSE)</f>
        <v>9.6</v>
      </c>
      <c r="M7" s="9">
        <f>VLOOKUP(Table3[[#This Row],[Name]],LkGrgResults[],7,FALSE)</f>
        <v>25</v>
      </c>
      <c r="N7" s="9">
        <f>VLOOKUP(Table3[[#This Row],[Name]],ChampResults[],5,FALSE)</f>
        <v>8</v>
      </c>
      <c r="O7" s="9">
        <f>VLOOKUP(Table3[[#This Row],[Name]],ChampResults[],6,FALSE)</f>
        <v>12.6</v>
      </c>
      <c r="P7" s="9">
        <f>VLOOKUP(Table3[[#This Row],[Name]],ChampResults[],7,FALSE)</f>
        <v>24</v>
      </c>
      <c r="Q7" s="9">
        <f>VLOOKUP(Table3[[#This Row],[Name]],BuelResults[],5,FALSE)</f>
        <v>0</v>
      </c>
      <c r="R7" s="9">
        <f>VLOOKUP(Table3[[#This Row],[Name]],BuelResults[],6,FALSE)</f>
        <v>0</v>
      </c>
      <c r="S7" s="9">
        <f>VLOOKUP(Table3[[#This Row],[Name]],BuelResults[],7,FALSE)</f>
        <v>0</v>
      </c>
      <c r="T7" s="9">
        <f>VLOOKUP(Table3[[#This Row],[Name]],SaraResults[],5,FALSE)</f>
        <v>7</v>
      </c>
      <c r="U7" s="9">
        <f>VLOOKUP(Table3[[#This Row],[Name]],SaraResults[],6,FALSE)</f>
        <v>11.8</v>
      </c>
      <c r="V7" s="9">
        <f>VLOOKUP(Table3[[#This Row],[Name]],SaraResults[],7,FALSE)</f>
        <v>26</v>
      </c>
      <c r="W7" s="16">
        <f>Table3[[#This Row],[Tour'#1 Lbs]]+Table3[[#This Row],[Tour'#2 Lbs]]+Table3[[#This Row],[Tour'#3 Lbs]]+Table3[[#This Row],[Tour'#4 Lbs]]+Table3[[#This Row],[Tour'#5 Lbs]]+Table3[[#This Row],[Tour'#6 Lbs]]+Table3[[#This Row],[Champ Lbs]]</f>
        <v>45</v>
      </c>
      <c r="X7" s="28">
        <f>Table3[[#This Row],[Tour'#1 Oz]]+Table3[[#This Row],[Tour'#2 Oz]]+Table3[[#This Row],[Tour'#3 Oz]]+Table3[[#This Row],[Tour'#4 Oz]]+Table3[[#This Row],[Tour'#5 Oz]]+Table3[[#This Row],[Tour'#6 Oz]]+Table3[[#This Row],[Champ Oz]]</f>
        <v>56.2</v>
      </c>
      <c r="Y7" s="29">
        <f>IF((Table3[[#This Row],[Total oz]])&gt;=16,ROUNDDOWN((Table3[[#This Row],[Total oz]]/16),0), )</f>
        <v>3</v>
      </c>
      <c r="Z7" s="29">
        <f>IF(Table3[[#This Row],[oz to lbs]]&gt;=1,(Table3[[#This Row],[Total oz]]-(16*Table3[[#This Row],[oz to lbs]])),0)</f>
        <v>8.2000000000000028</v>
      </c>
      <c r="AA7" s="30" t="str">
        <f>_xlfn.CONCAT(Table3[[#This Row],[Total Lbs]]+Table3[[#This Row],[oz to lbs]]," lbs ",IF(Table3[[#This Row],[oz to lbs]]&gt;0,ROUND(Table3[[#This Row],[Converted Total Oz]],1),Table3[[#This Row],[Total oz]]), " oz")</f>
        <v>48 lbs 8.2 oz</v>
      </c>
      <c r="AB7" s="18">
        <f>Table3[[#This Row],[Tour'#1 Pts]]+Table3[[#This Row],[Tour'#2 Pts]]+Table3[[#This Row],[Tour'#3 Pts2]]+Table3[[#This Row],[Tour'#4 Pts2]]+Table3[[#This Row],[Tour'#5 Pts2]]+Table3[[#This Row],[Tour'#6 Pts]]+Table3[[#This Row],[Champ Pts]]</f>
        <v>138</v>
      </c>
    </row>
    <row r="8" spans="1:28" ht="42" x14ac:dyDescent="0.2">
      <c r="A8" s="17" t="s">
        <v>17</v>
      </c>
      <c r="B8" s="9">
        <f>VLOOKUP(Table3[[#This Row],[Name]],Table1[],5,FALSE)</f>
        <v>3</v>
      </c>
      <c r="C8" s="9">
        <f>VLOOKUP(Table3[[#This Row],[Name]],Table1[],6,FALSE)</f>
        <v>3.8</v>
      </c>
      <c r="D8" s="9">
        <f>VLOOKUP(Table3[[#This Row],[Name]],Table1[],7,FALSE)</f>
        <v>17</v>
      </c>
      <c r="E8" s="9">
        <f>VLOOKUP(Table3[[#This Row],[Name]],Table2[],5,FALSE)</f>
        <v>0</v>
      </c>
      <c r="F8" s="9">
        <f>VLOOKUP(Table3[[#This Row],[Name]],Table2[],6,FALSE)</f>
        <v>0</v>
      </c>
      <c r="G8" s="9">
        <f>VLOOKUP(Table3[[#This Row],[Name]],Table2[#All],7,FALSE)</f>
        <v>0</v>
      </c>
      <c r="H8" s="9">
        <f>VLOOKUP(Table3[[#This Row],[Name]],Table4[],5,FALSE)</f>
        <v>5</v>
      </c>
      <c r="I8" s="9">
        <f>VLOOKUP(Table3[[#This Row],[Name]],Table4[],6,FALSE)</f>
        <v>2</v>
      </c>
      <c r="J8" s="9">
        <f>VLOOKUP(Table3[[#This Row],[Name]],Table4[],7,FALSE)</f>
        <v>18</v>
      </c>
      <c r="K8" s="9">
        <f>VLOOKUP(Table3[[#This Row],[Name]],LkGrgResults[],5,FALSE)</f>
        <v>7</v>
      </c>
      <c r="L8" s="9">
        <f>VLOOKUP(Table3[[#This Row],[Name]],LkGrgResults[],6,FALSE)</f>
        <v>9.6</v>
      </c>
      <c r="M8" s="9">
        <f>VLOOKUP(Table3[[#This Row],[Name]],LkGrgResults[],7,FALSE)</f>
        <v>23</v>
      </c>
      <c r="N8" s="9">
        <f>VLOOKUP(Table3[[#This Row],[Name]],ChampResults[],5,FALSE)</f>
        <v>0</v>
      </c>
      <c r="O8" s="9">
        <f>VLOOKUP(Table3[[#This Row],[Name]],ChampResults[],6,FALSE)</f>
        <v>0</v>
      </c>
      <c r="P8" s="9">
        <f>VLOOKUP(Table3[[#This Row],[Name]],ChampResults[],7,FALSE)</f>
        <v>0</v>
      </c>
      <c r="Q8" s="9">
        <f>VLOOKUP(Table3[[#This Row],[Name]],BuelResults[],5,FALSE)</f>
        <v>7</v>
      </c>
      <c r="R8" s="9">
        <f>VLOOKUP(Table3[[#This Row],[Name]],BuelResults[],6,FALSE)</f>
        <v>3.8</v>
      </c>
      <c r="S8" s="9">
        <f>VLOOKUP(Table3[[#This Row],[Name]],BuelResults[],7,FALSE)</f>
        <v>24</v>
      </c>
      <c r="T8" s="9">
        <f>VLOOKUP(Table3[[#This Row],[Name]],SaraResults[],5,FALSE)</f>
        <v>6</v>
      </c>
      <c r="U8" s="9">
        <f>VLOOKUP(Table3[[#This Row],[Name]],SaraResults[],6,FALSE)</f>
        <v>11.2</v>
      </c>
      <c r="V8" s="9">
        <f>VLOOKUP(Table3[[#This Row],[Name]],SaraResults[],7,FALSE)</f>
        <v>23</v>
      </c>
      <c r="W8" s="16">
        <f>Table3[[#This Row],[Tour'#1 Lbs]]+Table3[[#This Row],[Tour'#2 Lbs]]+Table3[[#This Row],[Tour'#3 Lbs]]+Table3[[#This Row],[Tour'#4 Lbs]]+Table3[[#This Row],[Tour'#5 Lbs]]+Table3[[#This Row],[Tour'#6 Lbs]]+Table3[[#This Row],[Champ Lbs]]</f>
        <v>28</v>
      </c>
      <c r="X8" s="28">
        <f>Table3[[#This Row],[Tour'#1 Oz]]+Table3[[#This Row],[Tour'#2 Oz]]+Table3[[#This Row],[Tour'#3 Oz]]+Table3[[#This Row],[Tour'#4 Oz]]+Table3[[#This Row],[Tour'#5 Oz]]+Table3[[#This Row],[Tour'#6 Oz]]+Table3[[#This Row],[Champ Oz]]</f>
        <v>30.4</v>
      </c>
      <c r="Y8" s="29">
        <f>IF((Table3[[#This Row],[Total oz]])&gt;=16,ROUNDDOWN((Table3[[#This Row],[Total oz]]/16),0), )</f>
        <v>1</v>
      </c>
      <c r="Z8" s="29">
        <f>IF(Table3[[#This Row],[oz to lbs]]&gt;=1,(Table3[[#This Row],[Total oz]]-(16*Table3[[#This Row],[oz to lbs]])),0)</f>
        <v>14.399999999999999</v>
      </c>
      <c r="AA8" s="30" t="str">
        <f>_xlfn.CONCAT(Table3[[#This Row],[Total Lbs]]+Table3[[#This Row],[oz to lbs]]," lbs ",IF(Table3[[#This Row],[oz to lbs]]&gt;0,ROUND(Table3[[#This Row],[Converted Total Oz]],1),Table3[[#This Row],[Total oz]]), " oz")</f>
        <v>29 lbs 14.4 oz</v>
      </c>
      <c r="AB8" s="18">
        <f>Table3[[#This Row],[Tour'#1 Pts]]+Table3[[#This Row],[Tour'#2 Pts]]+Table3[[#This Row],[Tour'#3 Pts2]]+Table3[[#This Row],[Tour'#4 Pts2]]+Table3[[#This Row],[Tour'#5 Pts2]]+Table3[[#This Row],[Tour'#6 Pts]]+Table3[[#This Row],[Champ Pts]]</f>
        <v>105</v>
      </c>
    </row>
    <row r="9" spans="1:28" ht="42" x14ac:dyDescent="0.2">
      <c r="A9" s="17" t="s">
        <v>10</v>
      </c>
      <c r="B9" s="9">
        <f>VLOOKUP(Table3[[#This Row],[Name]],Table1[],5,FALSE)</f>
        <v>8</v>
      </c>
      <c r="C9" s="9">
        <f>VLOOKUP(Table3[[#This Row],[Name]],Table1[],6,FALSE)</f>
        <v>13.8</v>
      </c>
      <c r="D9" s="9">
        <f>VLOOKUP(Table3[[#This Row],[Name]],Table1[],7,FALSE)</f>
        <v>21</v>
      </c>
      <c r="E9" s="9">
        <f>VLOOKUP(Table3[[#This Row],[Name]],Table2[],5,FALSE)</f>
        <v>0</v>
      </c>
      <c r="F9" s="9">
        <f>VLOOKUP(Table3[[#This Row],[Name]],Table2[],6,FALSE)</f>
        <v>0</v>
      </c>
      <c r="G9" s="9">
        <f>VLOOKUP(Table3[[#This Row],[Name]],Table2[#All],7,FALSE)</f>
        <v>0</v>
      </c>
      <c r="H9" s="9">
        <f>VLOOKUP(Table3[[#This Row],[Name]],Table4[],5,FALSE)</f>
        <v>9</v>
      </c>
      <c r="I9" s="9">
        <f>VLOOKUP(Table3[[#This Row],[Name]],Table4[],6,FALSE)</f>
        <v>7.8</v>
      </c>
      <c r="J9" s="9">
        <f>VLOOKUP(Table3[[#This Row],[Name]],Table4[],7,FALSE)</f>
        <v>23</v>
      </c>
      <c r="K9" s="9">
        <f>VLOOKUP(Table3[[#This Row],[Name]],LkGrgResults[],5,FALSE)</f>
        <v>0</v>
      </c>
      <c r="L9" s="9">
        <f>VLOOKUP(Table3[[#This Row],[Name]],LkGrgResults[],6,FALSE)</f>
        <v>0</v>
      </c>
      <c r="M9" s="9">
        <f>VLOOKUP(Table3[[#This Row],[Name]],LkGrgResults[],7,FALSE)</f>
        <v>0</v>
      </c>
      <c r="N9" s="9">
        <f>VLOOKUP(Table3[[#This Row],[Name]],ChampResults[],5,FALSE)</f>
        <v>17</v>
      </c>
      <c r="O9" s="9">
        <f>VLOOKUP(Table3[[#This Row],[Name]],ChampResults[],6,FALSE)</f>
        <v>8.8000000000000007</v>
      </c>
      <c r="P9" s="9">
        <f>VLOOKUP(Table3[[#This Row],[Name]],ChampResults[],7,FALSE)</f>
        <v>28</v>
      </c>
      <c r="Q9" s="9">
        <f>VLOOKUP(Table3[[#This Row],[Name]],BuelResults[],5,FALSE)</f>
        <v>0</v>
      </c>
      <c r="R9" s="9">
        <f>VLOOKUP(Table3[[#This Row],[Name]],BuelResults[],6,FALSE)</f>
        <v>0</v>
      </c>
      <c r="S9" s="9">
        <f>VLOOKUP(Table3[[#This Row],[Name]],BuelResults[],7,FALSE)</f>
        <v>0</v>
      </c>
      <c r="T9" s="9">
        <f>VLOOKUP(Table3[[#This Row],[Name]],SaraResults[],5,FALSE)</f>
        <v>9</v>
      </c>
      <c r="U9" s="9">
        <f>VLOOKUP(Table3[[#This Row],[Name]],SaraResults[],6,FALSE)</f>
        <v>11.2</v>
      </c>
      <c r="V9" s="9">
        <f>VLOOKUP(Table3[[#This Row],[Name]],SaraResults[],7,FALSE)</f>
        <v>29</v>
      </c>
      <c r="W9" s="16">
        <f>Table3[[#This Row],[Tour'#1 Lbs]]+Table3[[#This Row],[Tour'#2 Lbs]]+Table3[[#This Row],[Tour'#3 Lbs]]+Table3[[#This Row],[Tour'#4 Lbs]]+Table3[[#This Row],[Tour'#5 Lbs]]+Table3[[#This Row],[Tour'#6 Lbs]]+Table3[[#This Row],[Champ Lbs]]</f>
        <v>43</v>
      </c>
      <c r="X9" s="49">
        <f>Table3[[#This Row],[Tour'#1 Oz]]+Table3[[#This Row],[Tour'#2 Oz]]+Table3[[#This Row],[Tour'#3 Oz]]+Table3[[#This Row],[Tour'#4 Oz]]+Table3[[#This Row],[Tour'#5 Oz]]+Table3[[#This Row],[Tour'#6 Oz]]+Table3[[#This Row],[Champ Oz]]</f>
        <v>41.6</v>
      </c>
      <c r="Y9" s="50">
        <f>IF((Table3[[#This Row],[Total oz]])&gt;=16,ROUNDDOWN((Table3[[#This Row],[Total oz]]/16),0), )</f>
        <v>2</v>
      </c>
      <c r="Z9" s="50">
        <f>IF(Table3[[#This Row],[oz to lbs]]&gt;=1,(Table3[[#This Row],[Total oz]]-(16*Table3[[#This Row],[oz to lbs]])),0)</f>
        <v>9.6000000000000014</v>
      </c>
      <c r="AA9" s="51" t="str">
        <f>_xlfn.CONCAT(Table3[[#This Row],[Total Lbs]]+Table3[[#This Row],[oz to lbs]]," lbs ",IF(Table3[[#This Row],[oz to lbs]]&gt;0,ROUND(Table3[[#This Row],[Converted Total Oz]],1),Table3[[#This Row],[Total oz]]), " oz")</f>
        <v>45 lbs 9.6 oz</v>
      </c>
      <c r="AB9" s="18">
        <f>Table3[[#This Row],[Tour'#1 Pts]]+Table3[[#This Row],[Tour'#2 Pts]]+Table3[[#This Row],[Tour'#3 Pts2]]+Table3[[#This Row],[Tour'#4 Pts2]]+Table3[[#This Row],[Tour'#5 Pts2]]+Table3[[#This Row],[Tour'#6 Pts]]+Table3[[#This Row],[Champ Pts]]</f>
        <v>101</v>
      </c>
    </row>
    <row r="10" spans="1:28" ht="42" x14ac:dyDescent="0.2">
      <c r="A10" s="17" t="s">
        <v>70</v>
      </c>
      <c r="B10" s="9">
        <f>VLOOKUP(Table3[[#This Row],[Name]],Table1[],5,FALSE)</f>
        <v>10</v>
      </c>
      <c r="C10" s="9">
        <f>VLOOKUP(Table3[[#This Row],[Name]],Table1[],6,FALSE)</f>
        <v>13.4</v>
      </c>
      <c r="D10" s="9">
        <f>VLOOKUP(Table3[[#This Row],[Name]],Table1[],7,FALSE)</f>
        <v>24</v>
      </c>
      <c r="E10" s="9">
        <f>VLOOKUP(Table3[[#This Row],[Name]],Table2[],5,FALSE)</f>
        <v>0</v>
      </c>
      <c r="F10" s="9">
        <f>VLOOKUP(Table3[[#This Row],[Name]],Table2[],6,FALSE)</f>
        <v>0</v>
      </c>
      <c r="G10" s="9">
        <f>VLOOKUP(Table3[[#This Row],[Name]],Table2[#All],7,FALSE)</f>
        <v>0</v>
      </c>
      <c r="H10" s="9">
        <f>VLOOKUP(Table3[[#This Row],[Name]],Table4[],5,FALSE)</f>
        <v>0</v>
      </c>
      <c r="I10" s="9">
        <f>VLOOKUP(Table3[[#This Row],[Name]],Table4[],6,FALSE)</f>
        <v>0</v>
      </c>
      <c r="J10" s="9">
        <f>VLOOKUP(Table3[[#This Row],[Name]],Table4[],7,FALSE)</f>
        <v>0</v>
      </c>
      <c r="K10" s="9">
        <f>VLOOKUP(Table3[[#This Row],[Name]],LkGrgResults[],5,FALSE)</f>
        <v>0</v>
      </c>
      <c r="L10" s="9">
        <f>VLOOKUP(Table3[[#This Row],[Name]],LkGrgResults[],6,FALSE)</f>
        <v>0</v>
      </c>
      <c r="M10" s="9">
        <f>VLOOKUP(Table3[[#This Row],[Name]],LkGrgResults[],7,FALSE)</f>
        <v>0</v>
      </c>
      <c r="N10" s="9">
        <f>VLOOKUP(Table3[[#This Row],[Name]],ChampResults[],5,FALSE)</f>
        <v>4</v>
      </c>
      <c r="O10" s="9">
        <f>VLOOKUP(Table3[[#This Row],[Name]],ChampResults[],6,FALSE)</f>
        <v>12.6</v>
      </c>
      <c r="P10" s="9">
        <f>VLOOKUP(Table3[[#This Row],[Name]],ChampResults[],7,FALSE)</f>
        <v>21</v>
      </c>
      <c r="Q10" s="9">
        <f>VLOOKUP(Table3[[#This Row],[Name]],BuelResults[],5,FALSE)</f>
        <v>7</v>
      </c>
      <c r="R10" s="9">
        <f>VLOOKUP(Table3[[#This Row],[Name]],BuelResults[],6,FALSE)</f>
        <v>13.6</v>
      </c>
      <c r="S10" s="9">
        <f>VLOOKUP(Table3[[#This Row],[Name]],BuelResults[],7,FALSE)</f>
        <v>26</v>
      </c>
      <c r="T10" s="9">
        <f>VLOOKUP(Table3[[#This Row],[Name]],SaraResults[],5,FALSE)</f>
        <v>7</v>
      </c>
      <c r="U10" s="9">
        <f>VLOOKUP(Table3[[#This Row],[Name]],SaraResults[],6,FALSE)</f>
        <v>6.2</v>
      </c>
      <c r="V10" s="9">
        <f>VLOOKUP(Table3[[#This Row],[Name]],SaraResults[],7,FALSE)</f>
        <v>24</v>
      </c>
      <c r="W10" s="16">
        <f>Table3[[#This Row],[Tour'#1 Lbs]]+Table3[[#This Row],[Tour'#2 Lbs]]+Table3[[#This Row],[Tour'#3 Lbs]]+Table3[[#This Row],[Tour'#4 Lbs]]+Table3[[#This Row],[Tour'#5 Lbs]]+Table3[[#This Row],[Tour'#6 Lbs]]+Table3[[#This Row],[Champ Lbs]]</f>
        <v>28</v>
      </c>
      <c r="X10" s="28">
        <f>Table3[[#This Row],[Tour'#1 Oz]]+Table3[[#This Row],[Tour'#2 Oz]]+Table3[[#This Row],[Tour'#3 Oz]]+Table3[[#This Row],[Tour'#4 Oz]]+Table3[[#This Row],[Tour'#5 Oz]]+Table3[[#This Row],[Tour'#6 Oz]]+Table3[[#This Row],[Champ Oz]]</f>
        <v>45.800000000000004</v>
      </c>
      <c r="Y10" s="29">
        <f>IF((Table3[[#This Row],[Total oz]])&gt;=16,ROUNDDOWN((Table3[[#This Row],[Total oz]]/16),0), )</f>
        <v>2</v>
      </c>
      <c r="Z10" s="29">
        <f>IF(Table3[[#This Row],[oz to lbs]]&gt;=1,(Table3[[#This Row],[Total oz]]-(16*Table3[[#This Row],[oz to lbs]])),0)</f>
        <v>13.800000000000004</v>
      </c>
      <c r="AA10" s="30" t="str">
        <f>_xlfn.CONCAT(Table3[[#This Row],[Total Lbs]]+Table3[[#This Row],[oz to lbs]]," lbs ",IF(Table3[[#This Row],[oz to lbs]]&gt;0,ROUND(Table3[[#This Row],[Converted Total Oz]],1),Table3[[#This Row],[Total oz]]), " oz")</f>
        <v>30 lbs 13.8 oz</v>
      </c>
      <c r="AB10" s="18">
        <f>Table3[[#This Row],[Tour'#1 Pts]]+Table3[[#This Row],[Tour'#2 Pts]]+Table3[[#This Row],[Tour'#3 Pts2]]+Table3[[#This Row],[Tour'#4 Pts2]]+Table3[[#This Row],[Tour'#5 Pts2]]+Table3[[#This Row],[Tour'#6 Pts]]+Table3[[#This Row],[Champ Pts]]</f>
        <v>95</v>
      </c>
    </row>
    <row r="11" spans="1:28" ht="42" x14ac:dyDescent="0.2">
      <c r="A11" s="17" t="s">
        <v>13</v>
      </c>
      <c r="B11" s="9">
        <f>VLOOKUP(Table3[[#This Row],[Name]],Table1[],5,FALSE)</f>
        <v>7</v>
      </c>
      <c r="C11" s="9">
        <f>VLOOKUP(Table3[[#This Row],[Name]],Table1[],6,FALSE)</f>
        <v>8.4</v>
      </c>
      <c r="D11" s="9">
        <f>VLOOKUP(Table3[[#This Row],[Name]],Table1[],7,FALSE)</f>
        <v>19</v>
      </c>
      <c r="E11" s="9">
        <f>VLOOKUP(Table3[[#This Row],[Name]],Table2[],5,FALSE)</f>
        <v>4</v>
      </c>
      <c r="F11" s="9">
        <f>VLOOKUP(Table3[[#This Row],[Name]],Table2[],6,FALSE)</f>
        <v>1.6</v>
      </c>
      <c r="G11" s="9">
        <f>VLOOKUP(Table3[[#This Row],[Name]],Table2[#All],7,FALSE)</f>
        <v>23</v>
      </c>
      <c r="H11" s="9">
        <f>VLOOKUP(Table3[[#This Row],[Name]],Table4[],5,FALSE)</f>
        <v>11</v>
      </c>
      <c r="I11" s="9">
        <f>VLOOKUP(Table3[[#This Row],[Name]],Table4[],6,FALSE)</f>
        <v>5.4</v>
      </c>
      <c r="J11" s="9">
        <f>VLOOKUP(Table3[[#This Row],[Name]],Table4[],7,FALSE)</f>
        <v>26</v>
      </c>
      <c r="K11" s="9">
        <f>VLOOKUP(Table3[[#This Row],[Name]],LkGrgResults[],5,FALSE)</f>
        <v>0</v>
      </c>
      <c r="L11" s="9">
        <f>VLOOKUP(Table3[[#This Row],[Name]],LkGrgResults[],6,FALSE)</f>
        <v>0</v>
      </c>
      <c r="M11" s="9">
        <f>VLOOKUP(Table3[[#This Row],[Name]],LkGrgResults[],7,FALSE)</f>
        <v>0</v>
      </c>
      <c r="N11" s="9">
        <f>VLOOKUP(Table3[[#This Row],[Name]],ChampResults[],5,FALSE)</f>
        <v>6</v>
      </c>
      <c r="O11" s="9">
        <f>VLOOKUP(Table3[[#This Row],[Name]],ChampResults[],6,FALSE)</f>
        <v>7.8</v>
      </c>
      <c r="P11" s="9">
        <f>VLOOKUP(Table3[[#This Row],[Name]],ChampResults[],7,FALSE)</f>
        <v>22</v>
      </c>
      <c r="Q11" s="9">
        <f>VLOOKUP(Table3[[#This Row],[Name]],BuelResults[],5,FALSE)</f>
        <v>0</v>
      </c>
      <c r="R11" s="9">
        <f>VLOOKUP(Table3[[#This Row],[Name]],BuelResults[],6,FALSE)</f>
        <v>0</v>
      </c>
      <c r="S11" s="9">
        <f>VLOOKUP(Table3[[#This Row],[Name]],BuelResults[],7,FALSE)</f>
        <v>0</v>
      </c>
      <c r="T11" s="9">
        <f>VLOOKUP(Table3[[#This Row],[Name]],SaraResults[],5,FALSE)</f>
        <v>0</v>
      </c>
      <c r="U11" s="9">
        <f>VLOOKUP(Table3[[#This Row],[Name]],SaraResults[],6,FALSE)</f>
        <v>0</v>
      </c>
      <c r="V11" s="9">
        <f>VLOOKUP(Table3[[#This Row],[Name]],SaraResults[],7,FALSE)</f>
        <v>0</v>
      </c>
      <c r="W11" s="16">
        <f>Table3[[#This Row],[Tour'#1 Lbs]]+Table3[[#This Row],[Tour'#2 Lbs]]+Table3[[#This Row],[Tour'#3 Lbs]]+Table3[[#This Row],[Tour'#4 Lbs]]+Table3[[#This Row],[Tour'#5 Lbs]]+Table3[[#This Row],[Tour'#6 Lbs]]+Table3[[#This Row],[Champ Lbs]]</f>
        <v>28</v>
      </c>
      <c r="X11" s="28">
        <f>Table3[[#This Row],[Tour'#1 Oz]]+Table3[[#This Row],[Tour'#2 Oz]]+Table3[[#This Row],[Tour'#3 Oz]]+Table3[[#This Row],[Tour'#4 Oz]]+Table3[[#This Row],[Tour'#5 Oz]]+Table3[[#This Row],[Tour'#6 Oz]]+Table3[[#This Row],[Champ Oz]]</f>
        <v>23.2</v>
      </c>
      <c r="Y11" s="29">
        <f>IF((Table3[[#This Row],[Total oz]])&gt;=16,ROUNDDOWN((Table3[[#This Row],[Total oz]]/16),0), )</f>
        <v>1</v>
      </c>
      <c r="Z11" s="29">
        <f>IF(Table3[[#This Row],[oz to lbs]]&gt;=1,(Table3[[#This Row],[Total oz]]-(16*Table3[[#This Row],[oz to lbs]])),0)</f>
        <v>7.1999999999999993</v>
      </c>
      <c r="AA11" s="30" t="str">
        <f>_xlfn.CONCAT(Table3[[#This Row],[Total Lbs]]+Table3[[#This Row],[oz to lbs]]," lbs ",IF(Table3[[#This Row],[oz to lbs]]&gt;0,ROUND(Table3[[#This Row],[Converted Total Oz]],1),Table3[[#This Row],[Total oz]]), " oz")</f>
        <v>29 lbs 7.2 oz</v>
      </c>
      <c r="AB11" s="18">
        <f>Table3[[#This Row],[Tour'#1 Pts]]+Table3[[#This Row],[Tour'#2 Pts]]+Table3[[#This Row],[Tour'#3 Pts2]]+Table3[[#This Row],[Tour'#4 Pts2]]+Table3[[#This Row],[Tour'#5 Pts2]]+Table3[[#This Row],[Tour'#6 Pts]]+Table3[[#This Row],[Champ Pts]]</f>
        <v>90</v>
      </c>
    </row>
    <row r="12" spans="1:28" ht="42" x14ac:dyDescent="0.2">
      <c r="A12" s="17" t="s">
        <v>42</v>
      </c>
      <c r="B12" s="9">
        <f>VLOOKUP(Table3[[#This Row],[Name]],Table1[],5,FALSE)</f>
        <v>13</v>
      </c>
      <c r="C12" s="9">
        <f>VLOOKUP(Table3[[#This Row],[Name]],Table1[],6,FALSE)</f>
        <v>1.6</v>
      </c>
      <c r="D12" s="9">
        <f>VLOOKUP(Table3[[#This Row],[Name]],Table1[],7,FALSE)</f>
        <v>27</v>
      </c>
      <c r="E12" s="9">
        <f>VLOOKUP(Table3[[#This Row],[Name]],Table2[],5,FALSE)</f>
        <v>5</v>
      </c>
      <c r="F12" s="9">
        <f>VLOOKUP(Table3[[#This Row],[Name]],Table2[],6,FALSE)</f>
        <v>9.4</v>
      </c>
      <c r="G12" s="9">
        <f>VLOOKUP(Table3[[#This Row],[Name]],Table2[#All],7,FALSE)</f>
        <v>25</v>
      </c>
      <c r="H12" s="9">
        <f>VLOOKUP(Table3[[#This Row],[Name]],Table4[],5,FALSE)</f>
        <v>12</v>
      </c>
      <c r="I12" s="9">
        <f>VLOOKUP(Table3[[#This Row],[Name]],Table4[],6,FALSE)</f>
        <v>7.6</v>
      </c>
      <c r="J12" s="9">
        <f>VLOOKUP(Table3[[#This Row],[Name]],Table4[],7,FALSE)</f>
        <v>27</v>
      </c>
      <c r="K12" s="9">
        <f>VLOOKUP(Table3[[#This Row],[Name]],LkGrgResults[],5,FALSE)</f>
        <v>0</v>
      </c>
      <c r="L12" s="9">
        <f>VLOOKUP(Table3[[#This Row],[Name]],LkGrgResults[],6,FALSE)</f>
        <v>0</v>
      </c>
      <c r="M12" s="9">
        <f>VLOOKUP(Table3[[#This Row],[Name]],LkGrgResults[],7,FALSE)</f>
        <v>0</v>
      </c>
      <c r="N12" s="9">
        <f>VLOOKUP(Table3[[#This Row],[Name]],ChampResults[],5,FALSE)</f>
        <v>0</v>
      </c>
      <c r="O12" s="9">
        <f>VLOOKUP(Table3[[#This Row],[Name]],ChampResults[],6,FALSE)</f>
        <v>0</v>
      </c>
      <c r="P12" s="9">
        <f>VLOOKUP(Table3[[#This Row],[Name]],ChampResults[],7,FALSE)</f>
        <v>0</v>
      </c>
      <c r="Q12" s="9">
        <f>VLOOKUP(Table3[[#This Row],[Name]],BuelResults[],5,FALSE)</f>
        <v>0</v>
      </c>
      <c r="R12" s="9">
        <f>VLOOKUP(Table3[[#This Row],[Name]],BuelResults[],6,FALSE)</f>
        <v>0</v>
      </c>
      <c r="S12" s="9">
        <f>VLOOKUP(Table3[[#This Row],[Name]],BuelResults[],7,FALSE)</f>
        <v>0</v>
      </c>
      <c r="T12" s="9">
        <f>VLOOKUP(Table3[[#This Row],[Name]],SaraResults[],5,FALSE)</f>
        <v>0</v>
      </c>
      <c r="U12" s="9">
        <f>VLOOKUP(Table3[[#This Row],[Name]],SaraResults[],6,FALSE)</f>
        <v>0</v>
      </c>
      <c r="V12" s="9">
        <f>VLOOKUP(Table3[[#This Row],[Name]],SaraResults[],7,FALSE)</f>
        <v>0</v>
      </c>
      <c r="W12" s="16">
        <f>Table3[[#This Row],[Tour'#1 Lbs]]+Table3[[#This Row],[Tour'#2 Lbs]]+Table3[[#This Row],[Tour'#3 Lbs]]+Table3[[#This Row],[Tour'#4 Lbs]]+Table3[[#This Row],[Tour'#5 Lbs]]+Table3[[#This Row],[Tour'#6 Lbs]]+Table3[[#This Row],[Champ Lbs]]</f>
        <v>30</v>
      </c>
      <c r="X12" s="28">
        <f>Table3[[#This Row],[Tour'#1 Oz]]+Table3[[#This Row],[Tour'#2 Oz]]+Table3[[#This Row],[Tour'#3 Oz]]+Table3[[#This Row],[Tour'#4 Oz]]+Table3[[#This Row],[Tour'#5 Oz]]+Table3[[#This Row],[Tour'#6 Oz]]+Table3[[#This Row],[Champ Oz]]</f>
        <v>18.600000000000001</v>
      </c>
      <c r="Y12" s="29">
        <f>IF((Table3[[#This Row],[Total oz]])&gt;=16,ROUNDDOWN((Table3[[#This Row],[Total oz]]/16),0), )</f>
        <v>1</v>
      </c>
      <c r="Z12" s="29">
        <f>IF(Table3[[#This Row],[oz to lbs]]&gt;=1,(Table3[[#This Row],[Total oz]]-(16*Table3[[#This Row],[oz to lbs]])),0)</f>
        <v>2.6000000000000014</v>
      </c>
      <c r="AA12" s="30" t="str">
        <f>_xlfn.CONCAT(Table3[[#This Row],[Total Lbs]]+Table3[[#This Row],[oz to lbs]]," lbs ",IF(Table3[[#This Row],[oz to lbs]]&gt;0,ROUND(Table3[[#This Row],[Converted Total Oz]],1),Table3[[#This Row],[Total oz]]), " oz")</f>
        <v>31 lbs 2.6 oz</v>
      </c>
      <c r="AB12" s="18">
        <f>Table3[[#This Row],[Tour'#1 Pts]]+Table3[[#This Row],[Tour'#2 Pts]]+Table3[[#This Row],[Tour'#3 Pts2]]+Table3[[#This Row],[Tour'#4 Pts2]]+Table3[[#This Row],[Tour'#5 Pts2]]+Table3[[#This Row],[Tour'#6 Pts]]+Table3[[#This Row],[Champ Pts]]</f>
        <v>79</v>
      </c>
    </row>
    <row r="13" spans="1:28" ht="42" x14ac:dyDescent="0.2">
      <c r="A13" s="17" t="s">
        <v>81</v>
      </c>
      <c r="B13" s="9">
        <f>VLOOKUP(Table3[[#This Row],[Name]],Table1[],5,FALSE)</f>
        <v>0</v>
      </c>
      <c r="C13" s="9">
        <f>VLOOKUP(Table3[[#This Row],[Name]],Table1[],6,FALSE)</f>
        <v>0</v>
      </c>
      <c r="D13" s="9">
        <f>VLOOKUP(Table3[[#This Row],[Name]],Table1[],7,FALSE)</f>
        <v>0</v>
      </c>
      <c r="E13" s="9">
        <f>VLOOKUP(Table3[[#This Row],[Name]],Table2[],5,FALSE)</f>
        <v>8</v>
      </c>
      <c r="F13" s="9">
        <f>VLOOKUP(Table3[[#This Row],[Name]],Table2[],6,FALSE)</f>
        <v>2.8</v>
      </c>
      <c r="G13" s="9">
        <f>VLOOKUP(Table3[[#This Row],[Name]],Table2[#All],7,FALSE)</f>
        <v>28</v>
      </c>
      <c r="H13" s="9">
        <f>VLOOKUP(Table3[[#This Row],[Name]],Table4[],5,FALSE)</f>
        <v>9</v>
      </c>
      <c r="I13" s="9">
        <f>VLOOKUP(Table3[[#This Row],[Name]],Table4[],6,FALSE)</f>
        <v>1.2</v>
      </c>
      <c r="J13" s="9">
        <f>VLOOKUP(Table3[[#This Row],[Name]],Table4[],7,FALSE)</f>
        <v>21</v>
      </c>
      <c r="K13" s="9">
        <f>VLOOKUP(Table3[[#This Row],[Name]],LkGrgResults[],5,FALSE)</f>
        <v>0</v>
      </c>
      <c r="L13" s="9">
        <f>VLOOKUP(Table3[[#This Row],[Name]],LkGrgResults[],6,FALSE)</f>
        <v>0</v>
      </c>
      <c r="M13" s="9">
        <f>VLOOKUP(Table3[[#This Row],[Name]],LkGrgResults[],7,FALSE)</f>
        <v>0</v>
      </c>
      <c r="N13" s="9">
        <f>VLOOKUP(Table3[[#This Row],[Name]],ChampResults[],5,FALSE)</f>
        <v>0</v>
      </c>
      <c r="O13" s="9">
        <f>VLOOKUP(Table3[[#This Row],[Name]],ChampResults[],6,FALSE)</f>
        <v>0</v>
      </c>
      <c r="P13" s="9">
        <f>VLOOKUP(Table3[[#This Row],[Name]],ChampResults[],7,FALSE)</f>
        <v>0</v>
      </c>
      <c r="Q13" s="9">
        <f>VLOOKUP(Table3[[#This Row],[Name]],BuelResults[],5,FALSE)</f>
        <v>0</v>
      </c>
      <c r="R13" s="9">
        <f>VLOOKUP(Table3[[#This Row],[Name]],BuelResults[],6,FALSE)</f>
        <v>0</v>
      </c>
      <c r="S13" s="9">
        <f>VLOOKUP(Table3[[#This Row],[Name]],BuelResults[],7,FALSE)</f>
        <v>0</v>
      </c>
      <c r="T13" s="9">
        <f>VLOOKUP(Table3[[#This Row],[Name]],SaraResults[],5,FALSE)</f>
        <v>0</v>
      </c>
      <c r="U13" s="9">
        <f>VLOOKUP(Table3[[#This Row],[Name]],SaraResults[],6,FALSE)</f>
        <v>0</v>
      </c>
      <c r="V13" s="9">
        <f>VLOOKUP(Table3[[#This Row],[Name]],SaraResults[],7,FALSE)</f>
        <v>0</v>
      </c>
      <c r="W13" s="16">
        <f>Table3[[#This Row],[Tour'#1 Lbs]]+Table3[[#This Row],[Tour'#2 Lbs]]+Table3[[#This Row],[Tour'#3 Lbs]]+Table3[[#This Row],[Tour'#4 Lbs]]+Table3[[#This Row],[Tour'#5 Lbs]]+Table3[[#This Row],[Tour'#6 Lbs]]+Table3[[#This Row],[Champ Lbs]]</f>
        <v>17</v>
      </c>
      <c r="X13" s="28">
        <f>Table3[[#This Row],[Tour'#1 Oz]]+Table3[[#This Row],[Tour'#2 Oz]]+Table3[[#This Row],[Tour'#3 Oz]]+Table3[[#This Row],[Tour'#4 Oz]]+Table3[[#This Row],[Tour'#5 Oz]]+Table3[[#This Row],[Tour'#6 Oz]]+Table3[[#This Row],[Champ Oz]]</f>
        <v>4</v>
      </c>
      <c r="Y13" s="29">
        <f>IF((Table3[[#This Row],[Total oz]])&gt;=16,ROUNDDOWN((Table3[[#This Row],[Total oz]]/16),0), )</f>
        <v>0</v>
      </c>
      <c r="Z13" s="29">
        <f>IF(Table3[[#This Row],[oz to lbs]]&gt;=1,(Table3[[#This Row],[Total oz]]-(16*Table3[[#This Row],[oz to lbs]])),0)</f>
        <v>0</v>
      </c>
      <c r="AA13" s="30" t="str">
        <f>_xlfn.CONCAT(Table3[[#This Row],[Total Lbs]]+Table3[[#This Row],[oz to lbs]]," lbs ",IF(Table3[[#This Row],[oz to lbs]]&gt;0,ROUND(Table3[[#This Row],[Converted Total Oz]],1),Table3[[#This Row],[Total oz]]), " oz")</f>
        <v>17 lbs 4 oz</v>
      </c>
      <c r="AB13" s="18">
        <f>Table3[[#This Row],[Tour'#1 Pts]]+Table3[[#This Row],[Tour'#2 Pts]]+Table3[[#This Row],[Tour'#3 Pts2]]+Table3[[#This Row],[Tour'#4 Pts2]]+Table3[[#This Row],[Tour'#5 Pts2]]+Table3[[#This Row],[Tour'#6 Pts]]+Table3[[#This Row],[Champ Pts]]</f>
        <v>49</v>
      </c>
    </row>
    <row r="14" spans="1:28" ht="42" x14ac:dyDescent="0.2">
      <c r="A14" s="17" t="s">
        <v>7</v>
      </c>
      <c r="B14" s="9">
        <f>VLOOKUP(Table3[[#This Row],[Name]],Table1[],5,FALSE)</f>
        <v>10</v>
      </c>
      <c r="C14" s="9">
        <f>VLOOKUP(Table3[[#This Row],[Name]],Table1[],6,FALSE)</f>
        <v>12</v>
      </c>
      <c r="D14" s="9">
        <f>VLOOKUP(Table3[[#This Row],[Name]],Table1[],7,FALSE)</f>
        <v>23</v>
      </c>
      <c r="E14" s="9">
        <f>VLOOKUP(Table3[[#This Row],[Name]],Table2[],5,FALSE)</f>
        <v>0</v>
      </c>
      <c r="F14" s="9">
        <f>VLOOKUP(Table3[[#This Row],[Name]],Table2[],6,FALSE)</f>
        <v>0</v>
      </c>
      <c r="G14" s="9">
        <f>VLOOKUP(Table3[[#This Row],[Name]],Table2[#All],7,FALSE)</f>
        <v>0</v>
      </c>
      <c r="H14" s="9">
        <f>VLOOKUP(Table3[[#This Row],[Name]],Table4[],5,FALSE)</f>
        <v>6</v>
      </c>
      <c r="I14" s="9">
        <f>VLOOKUP(Table3[[#This Row],[Name]],Table4[],6,FALSE)</f>
        <v>3.2</v>
      </c>
      <c r="J14" s="9">
        <f>VLOOKUP(Table3[[#This Row],[Name]],Table4[],7,FALSE)</f>
        <v>19</v>
      </c>
      <c r="K14" s="9">
        <f>VLOOKUP(Table3[[#This Row],[Name]],LkGrgResults[],5,FALSE)</f>
        <v>0</v>
      </c>
      <c r="L14" s="9">
        <f>VLOOKUP(Table3[[#This Row],[Name]],LkGrgResults[],6,FALSE)</f>
        <v>0</v>
      </c>
      <c r="M14" s="9">
        <f>VLOOKUP(Table3[[#This Row],[Name]],LkGrgResults[],7,FALSE)</f>
        <v>0</v>
      </c>
      <c r="N14" s="9">
        <f>VLOOKUP(Table3[[#This Row],[Name]],ChampResults[],5,FALSE)</f>
        <v>0</v>
      </c>
      <c r="O14" s="9">
        <f>VLOOKUP(Table3[[#This Row],[Name]],ChampResults[],6,FALSE)</f>
        <v>0</v>
      </c>
      <c r="P14" s="9">
        <f>VLOOKUP(Table3[[#This Row],[Name]],ChampResults[],7,FALSE)</f>
        <v>0</v>
      </c>
      <c r="Q14" s="9">
        <f>VLOOKUP(Table3[[#This Row],[Name]],BuelResults[],5,FALSE)</f>
        <v>0</v>
      </c>
      <c r="R14" s="9">
        <f>VLOOKUP(Table3[[#This Row],[Name]],BuelResults[],6,FALSE)</f>
        <v>0</v>
      </c>
      <c r="S14" s="9">
        <f>VLOOKUP(Table3[[#This Row],[Name]],BuelResults[],7,FALSE)</f>
        <v>0</v>
      </c>
      <c r="T14" s="9">
        <f>VLOOKUP(Table3[[#This Row],[Name]],SaraResults[],5,FALSE)</f>
        <v>0</v>
      </c>
      <c r="U14" s="9">
        <f>VLOOKUP(Table3[[#This Row],[Name]],SaraResults[],6,FALSE)</f>
        <v>0</v>
      </c>
      <c r="V14" s="9">
        <f>VLOOKUP(Table3[[#This Row],[Name]],SaraResults[],7,FALSE)</f>
        <v>0</v>
      </c>
      <c r="W14" s="16">
        <f>Table3[[#This Row],[Tour'#1 Lbs]]+Table3[[#This Row],[Tour'#2 Lbs]]+Table3[[#This Row],[Tour'#3 Lbs]]+Table3[[#This Row],[Tour'#4 Lbs]]+Table3[[#This Row],[Tour'#5 Lbs]]+Table3[[#This Row],[Tour'#6 Lbs]]+Table3[[#This Row],[Champ Lbs]]</f>
        <v>16</v>
      </c>
      <c r="X14" s="28">
        <f>Table3[[#This Row],[Tour'#1 Oz]]+Table3[[#This Row],[Tour'#2 Oz]]+Table3[[#This Row],[Tour'#3 Oz]]+Table3[[#This Row],[Tour'#4 Oz]]+Table3[[#This Row],[Tour'#5 Oz]]+Table3[[#This Row],[Tour'#6 Oz]]+Table3[[#This Row],[Champ Oz]]</f>
        <v>15.2</v>
      </c>
      <c r="Y14" s="29">
        <f>IF((Table3[[#This Row],[Total oz]])&gt;=16,ROUNDDOWN((Table3[[#This Row],[Total oz]]/16),0), )</f>
        <v>0</v>
      </c>
      <c r="Z14" s="29">
        <f>IF(Table3[[#This Row],[oz to lbs]]&gt;=1,(Table3[[#This Row],[Total oz]]-(16*Table3[[#This Row],[oz to lbs]])),0)</f>
        <v>0</v>
      </c>
      <c r="AA14" s="30" t="str">
        <f>_xlfn.CONCAT(Table3[[#This Row],[Total Lbs]]+Table3[[#This Row],[oz to lbs]]," lbs ",IF(Table3[[#This Row],[oz to lbs]]&gt;0,ROUND(Table3[[#This Row],[Converted Total Oz]],1),Table3[[#This Row],[Total oz]]), " oz")</f>
        <v>16 lbs 15.2 oz</v>
      </c>
      <c r="AB14" s="18">
        <f>Table3[[#This Row],[Tour'#1 Pts]]+Table3[[#This Row],[Tour'#2 Pts]]+Table3[[#This Row],[Tour'#3 Pts2]]+Table3[[#This Row],[Tour'#4 Pts2]]+Table3[[#This Row],[Tour'#5 Pts2]]+Table3[[#This Row],[Tour'#6 Pts]]+Table3[[#This Row],[Champ Pts]]</f>
        <v>42</v>
      </c>
    </row>
    <row r="15" spans="1:28" ht="42" x14ac:dyDescent="0.2">
      <c r="A15" s="17" t="s">
        <v>3</v>
      </c>
      <c r="B15" s="9">
        <f>VLOOKUP(Table3[[#This Row],[Name]],Table1[],5,FALSE)</f>
        <v>12</v>
      </c>
      <c r="C15" s="9">
        <f>VLOOKUP(Table3[[#This Row],[Name]],Table1[],6,FALSE)</f>
        <v>4.5999999999999996</v>
      </c>
      <c r="D15" s="9">
        <f>VLOOKUP(Table3[[#This Row],[Name]],Table1[],7,FALSE)</f>
        <v>26</v>
      </c>
      <c r="E15" s="9">
        <f>VLOOKUP(Table3[[#This Row],[Name]],Table2[],5,FALSE)</f>
        <v>0</v>
      </c>
      <c r="F15" s="9">
        <f>VLOOKUP(Table3[[#This Row],[Name]],Table2[],6,FALSE)</f>
        <v>0</v>
      </c>
      <c r="G15" s="9">
        <f>VLOOKUP(Table3[[#This Row],[Name]],Table2[#All],7,FALSE)</f>
        <v>0</v>
      </c>
      <c r="H15" s="9">
        <f>VLOOKUP(Table3[[#This Row],[Name]],Table4[],5,FALSE)</f>
        <v>0</v>
      </c>
      <c r="I15" s="9">
        <f>VLOOKUP(Table3[[#This Row],[Name]],Table4[],6,FALSE)</f>
        <v>0</v>
      </c>
      <c r="J15" s="9">
        <f>VLOOKUP(Table3[[#This Row],[Name]],Table4[],7,FALSE)</f>
        <v>0</v>
      </c>
      <c r="K15" s="9">
        <f>VLOOKUP(Table3[[#This Row],[Name]],LkGrgResults[],5,FALSE)</f>
        <v>0</v>
      </c>
      <c r="L15" s="9">
        <f>VLOOKUP(Table3[[#This Row],[Name]],LkGrgResults[],6,FALSE)</f>
        <v>0</v>
      </c>
      <c r="M15" s="9">
        <f>VLOOKUP(Table3[[#This Row],[Name]],LkGrgResults[],7,FALSE)</f>
        <v>0</v>
      </c>
      <c r="N15" s="9">
        <f>VLOOKUP(Table3[[#This Row],[Name]],ChampResults[],5,FALSE)</f>
        <v>0</v>
      </c>
      <c r="O15" s="9">
        <f>VLOOKUP(Table3[[#This Row],[Name]],ChampResults[],6,FALSE)</f>
        <v>0</v>
      </c>
      <c r="P15" s="9">
        <f>VLOOKUP(Table3[[#This Row],[Name]],ChampResults[],7,FALSE)</f>
        <v>0</v>
      </c>
      <c r="Q15" s="9">
        <f>VLOOKUP(Table3[[#This Row],[Name]],BuelResults[],5,FALSE)</f>
        <v>0</v>
      </c>
      <c r="R15" s="9">
        <f>VLOOKUP(Table3[[#This Row],[Name]],BuelResults[],6,FALSE)</f>
        <v>0</v>
      </c>
      <c r="S15" s="9">
        <f>VLOOKUP(Table3[[#This Row],[Name]],BuelResults[],7,FALSE)</f>
        <v>0</v>
      </c>
      <c r="T15" s="9">
        <f>VLOOKUP(Table3[[#This Row],[Name]],SaraResults[],5,FALSE)</f>
        <v>0</v>
      </c>
      <c r="U15" s="9">
        <f>VLOOKUP(Table3[[#This Row],[Name]],SaraResults[],6,FALSE)</f>
        <v>0</v>
      </c>
      <c r="V15" s="9">
        <f>VLOOKUP(Table3[[#This Row],[Name]],SaraResults[],7,FALSE)</f>
        <v>0</v>
      </c>
      <c r="W15" s="16">
        <f>Table3[[#This Row],[Tour'#1 Lbs]]+Table3[[#This Row],[Tour'#2 Lbs]]+Table3[[#This Row],[Tour'#3 Lbs]]+Table3[[#This Row],[Tour'#4 Lbs]]+Table3[[#This Row],[Tour'#5 Lbs]]+Table3[[#This Row],[Tour'#6 Lbs]]+Table3[[#This Row],[Champ Lbs]]</f>
        <v>12</v>
      </c>
      <c r="X15" s="28">
        <f>Table3[[#This Row],[Tour'#1 Oz]]+Table3[[#This Row],[Tour'#2 Oz]]+Table3[[#This Row],[Tour'#3 Oz]]+Table3[[#This Row],[Tour'#4 Oz]]+Table3[[#This Row],[Tour'#5 Oz]]+Table3[[#This Row],[Tour'#6 Oz]]+Table3[[#This Row],[Champ Oz]]</f>
        <v>4.5999999999999996</v>
      </c>
      <c r="Y15" s="29">
        <f>IF((Table3[[#This Row],[Total oz]])&gt;=16,ROUNDDOWN((Table3[[#This Row],[Total oz]]/16),0), )</f>
        <v>0</v>
      </c>
      <c r="Z15" s="29">
        <f>IF(Table3[[#This Row],[oz to lbs]]&gt;=1,(Table3[[#This Row],[Total oz]]-(16*Table3[[#This Row],[oz to lbs]])),0)</f>
        <v>0</v>
      </c>
      <c r="AA15" s="30" t="str">
        <f>_xlfn.CONCAT(Table3[[#This Row],[Total Lbs]]+Table3[[#This Row],[oz to lbs]]," lbs ",IF(Table3[[#This Row],[oz to lbs]]&gt;0,ROUND(Table3[[#This Row],[Converted Total Oz]],1),Table3[[#This Row],[Total oz]]), " oz")</f>
        <v>12 lbs 4.6 oz</v>
      </c>
      <c r="AB15" s="18">
        <f>Table3[[#This Row],[Tour'#1 Pts]]+Table3[[#This Row],[Tour'#2 Pts]]+Table3[[#This Row],[Tour'#3 Pts2]]+Table3[[#This Row],[Tour'#4 Pts2]]+Table3[[#This Row],[Tour'#5 Pts2]]+Table3[[#This Row],[Tour'#6 Pts]]+Table3[[#This Row],[Champ Pts]]</f>
        <v>26</v>
      </c>
    </row>
    <row r="16" spans="1:28" ht="42" x14ac:dyDescent="0.2">
      <c r="A16" s="17" t="s">
        <v>35</v>
      </c>
      <c r="B16" s="9">
        <f>VLOOKUP(Table3[[#This Row],[Name]],Table1[],5,FALSE)</f>
        <v>0</v>
      </c>
      <c r="C16" s="9">
        <f>VLOOKUP(Table3[[#This Row],[Name]],Table1[],6,FALSE)</f>
        <v>0</v>
      </c>
      <c r="D16" s="9">
        <f>VLOOKUP(Table3[[#This Row],[Name]],Table1[],7,FALSE)</f>
        <v>0</v>
      </c>
      <c r="E16" s="9">
        <f>VLOOKUP(Table3[[#This Row],[Name]],Table2[],5,FALSE)</f>
        <v>2</v>
      </c>
      <c r="F16" s="9">
        <f>VLOOKUP(Table3[[#This Row],[Name]],Table2[],6,FALSE)</f>
        <v>5</v>
      </c>
      <c r="G16" s="9">
        <f>VLOOKUP(Table3[[#This Row],[Name]],Table2[#All],7,FALSE)</f>
        <v>21</v>
      </c>
      <c r="H16" s="9">
        <f>VLOOKUP(Table3[[#This Row],[Name]],Table4[],5,FALSE)</f>
        <v>0</v>
      </c>
      <c r="I16" s="9">
        <f>VLOOKUP(Table3[[#This Row],[Name]],Table4[],6,FALSE)</f>
        <v>0</v>
      </c>
      <c r="J16" s="9">
        <f>VLOOKUP(Table3[[#This Row],[Name]],Table4[],7,FALSE)</f>
        <v>0</v>
      </c>
      <c r="K16" s="9">
        <f>VLOOKUP(Table3[[#This Row],[Name]],LkGrgResults[],5,FALSE)</f>
        <v>0</v>
      </c>
      <c r="L16" s="9">
        <f>VLOOKUP(Table3[[#This Row],[Name]],LkGrgResults[],6,FALSE)</f>
        <v>0</v>
      </c>
      <c r="M16" s="9">
        <f>VLOOKUP(Table3[[#This Row],[Name]],LkGrgResults[],7,FALSE)</f>
        <v>0</v>
      </c>
      <c r="N16" s="9">
        <f>VLOOKUP(Table3[[#This Row],[Name]],ChampResults[],5,FALSE)</f>
        <v>0</v>
      </c>
      <c r="O16" s="9">
        <f>VLOOKUP(Table3[[#This Row],[Name]],ChampResults[],6,FALSE)</f>
        <v>0</v>
      </c>
      <c r="P16" s="9">
        <f>VLOOKUP(Table3[[#This Row],[Name]],ChampResults[],7,FALSE)</f>
        <v>0</v>
      </c>
      <c r="Q16" s="9">
        <f>VLOOKUP(Table3[[#This Row],[Name]],BuelResults[],5,FALSE)</f>
        <v>0</v>
      </c>
      <c r="R16" s="9">
        <f>VLOOKUP(Table3[[#This Row],[Name]],BuelResults[],6,FALSE)</f>
        <v>0</v>
      </c>
      <c r="S16" s="9">
        <f>VLOOKUP(Table3[[#This Row],[Name]],BuelResults[],7,FALSE)</f>
        <v>0</v>
      </c>
      <c r="T16" s="9">
        <f>VLOOKUP(Table3[[#This Row],[Name]],SaraResults[],5,FALSE)</f>
        <v>0</v>
      </c>
      <c r="U16" s="9">
        <f>VLOOKUP(Table3[[#This Row],[Name]],SaraResults[],6,FALSE)</f>
        <v>0</v>
      </c>
      <c r="V16" s="9">
        <f>VLOOKUP(Table3[[#This Row],[Name]],SaraResults[],7,FALSE)</f>
        <v>0</v>
      </c>
      <c r="W16" s="16">
        <f>Table3[[#This Row],[Tour'#1 Lbs]]+Table3[[#This Row],[Tour'#2 Lbs]]+Table3[[#This Row],[Tour'#3 Lbs]]+Table3[[#This Row],[Tour'#4 Lbs]]+Table3[[#This Row],[Tour'#5 Lbs]]+Table3[[#This Row],[Tour'#6 Lbs]]+Table3[[#This Row],[Champ Lbs]]</f>
        <v>2</v>
      </c>
      <c r="X16" s="28">
        <f>Table3[[#This Row],[Tour'#1 Oz]]+Table3[[#This Row],[Tour'#2 Oz]]+Table3[[#This Row],[Tour'#3 Oz]]+Table3[[#This Row],[Tour'#4 Oz]]+Table3[[#This Row],[Tour'#5 Oz]]+Table3[[#This Row],[Tour'#6 Oz]]+Table3[[#This Row],[Champ Oz]]</f>
        <v>5</v>
      </c>
      <c r="Y16" s="29">
        <f>IF((Table3[[#This Row],[Total oz]])&gt;=16,ROUNDDOWN((Table3[[#This Row],[Total oz]]/16),0), )</f>
        <v>0</v>
      </c>
      <c r="Z16" s="29">
        <f>IF(Table3[[#This Row],[oz to lbs]]&gt;=1,(Table3[[#This Row],[Total oz]]-(16*Table3[[#This Row],[oz to lbs]])),0)</f>
        <v>0</v>
      </c>
      <c r="AA16" s="30" t="str">
        <f>_xlfn.CONCAT(Table3[[#This Row],[Total Lbs]]+Table3[[#This Row],[oz to lbs]]," lbs ",IF(Table3[[#This Row],[oz to lbs]]&gt;0,ROUND(Table3[[#This Row],[Converted Total Oz]],1),Table3[[#This Row],[Total oz]]), " oz")</f>
        <v>2 lbs 5 oz</v>
      </c>
      <c r="AB16" s="18">
        <f>Table3[[#This Row],[Tour'#1 Pts]]+Table3[[#This Row],[Tour'#2 Pts]]+Table3[[#This Row],[Tour'#3 Pts2]]+Table3[[#This Row],[Tour'#4 Pts2]]+Table3[[#This Row],[Tour'#5 Pts2]]+Table3[[#This Row],[Tour'#6 Pts]]+Table3[[#This Row],[Champ Pts]]</f>
        <v>21</v>
      </c>
    </row>
    <row r="17" spans="1:28" ht="42" x14ac:dyDescent="0.2">
      <c r="A17" s="17" t="s">
        <v>43</v>
      </c>
      <c r="B17" s="9">
        <f>VLOOKUP(Table3[[#This Row],[Name]],Table1[],5,FALSE)</f>
        <v>0</v>
      </c>
      <c r="C17" s="9">
        <f>VLOOKUP(Table3[[#This Row],[Name]],Table1[],6,FALSE)</f>
        <v>0</v>
      </c>
      <c r="D17" s="9">
        <f>VLOOKUP(Table3[[#This Row],[Name]],Table1[],7,FALSE)</f>
        <v>0</v>
      </c>
      <c r="E17" s="9">
        <f>VLOOKUP(Table3[[#This Row],[Name]],Table2[],5,FALSE)</f>
        <v>2</v>
      </c>
      <c r="F17" s="9">
        <f>VLOOKUP(Table3[[#This Row],[Name]],Table2[],6,FALSE)</f>
        <v>1</v>
      </c>
      <c r="G17" s="9">
        <f>VLOOKUP(Table3[[#This Row],[Name]],Table2[#All],7,FALSE)</f>
        <v>20</v>
      </c>
      <c r="H17" s="9">
        <f>VLOOKUP(Table3[[#This Row],[Name]],Table4[],5,FALSE)</f>
        <v>0</v>
      </c>
      <c r="I17" s="9">
        <f>VLOOKUP(Table3[[#This Row],[Name]],Table4[],6,FALSE)</f>
        <v>0</v>
      </c>
      <c r="J17" s="9">
        <f>VLOOKUP(Table3[[#This Row],[Name]],Table4[],7,FALSE)</f>
        <v>0</v>
      </c>
      <c r="K17" s="9">
        <f>VLOOKUP(Table3[[#This Row],[Name]],LkGrgResults[],5,FALSE)</f>
        <v>0</v>
      </c>
      <c r="L17" s="9">
        <f>VLOOKUP(Table3[[#This Row],[Name]],LkGrgResults[],6,FALSE)</f>
        <v>0</v>
      </c>
      <c r="M17" s="9">
        <f>VLOOKUP(Table3[[#This Row],[Name]],LkGrgResults[],7,FALSE)</f>
        <v>0</v>
      </c>
      <c r="N17" s="9">
        <f>VLOOKUP(Table3[[#This Row],[Name]],ChampResults[],5,FALSE)</f>
        <v>0</v>
      </c>
      <c r="O17" s="9">
        <f>VLOOKUP(Table3[[#This Row],[Name]],ChampResults[],6,FALSE)</f>
        <v>0</v>
      </c>
      <c r="P17" s="9">
        <f>VLOOKUP(Table3[[#This Row],[Name]],ChampResults[],7,FALSE)</f>
        <v>0</v>
      </c>
      <c r="Q17" s="9">
        <f>VLOOKUP(Table3[[#This Row],[Name]],BuelResults[],5,FALSE)</f>
        <v>0</v>
      </c>
      <c r="R17" s="9">
        <f>VLOOKUP(Table3[[#This Row],[Name]],BuelResults[],6,FALSE)</f>
        <v>0</v>
      </c>
      <c r="S17" s="9">
        <f>VLOOKUP(Table3[[#This Row],[Name]],BuelResults[],7,FALSE)</f>
        <v>0</v>
      </c>
      <c r="T17" s="9">
        <f>VLOOKUP(Table3[[#This Row],[Name]],SaraResults[],5,FALSE)</f>
        <v>0</v>
      </c>
      <c r="U17" s="9">
        <f>VLOOKUP(Table3[[#This Row],[Name]],SaraResults[],6,FALSE)</f>
        <v>0</v>
      </c>
      <c r="V17" s="9">
        <f>VLOOKUP(Table3[[#This Row],[Name]],SaraResults[],7,FALSE)</f>
        <v>0</v>
      </c>
      <c r="W17" s="16">
        <f>Table3[[#This Row],[Tour'#1 Lbs]]+Table3[[#This Row],[Tour'#2 Lbs]]+Table3[[#This Row],[Tour'#3 Lbs]]+Table3[[#This Row],[Tour'#4 Lbs]]+Table3[[#This Row],[Tour'#5 Lbs]]+Table3[[#This Row],[Tour'#6 Lbs]]+Table3[[#This Row],[Champ Lbs]]</f>
        <v>2</v>
      </c>
      <c r="X17" s="28">
        <f>Table3[[#This Row],[Tour'#1 Oz]]+Table3[[#This Row],[Tour'#2 Oz]]+Table3[[#This Row],[Tour'#3 Oz]]+Table3[[#This Row],[Tour'#4 Oz]]+Table3[[#This Row],[Tour'#5 Oz]]+Table3[[#This Row],[Tour'#6 Oz]]+Table3[[#This Row],[Champ Oz]]</f>
        <v>1</v>
      </c>
      <c r="Y17" s="29">
        <f>IF((Table3[[#This Row],[Total oz]])&gt;=16,ROUNDDOWN((Table3[[#This Row],[Total oz]]/16),0), )</f>
        <v>0</v>
      </c>
      <c r="Z17" s="29">
        <f>IF(Table3[[#This Row],[oz to lbs]]&gt;=1,(Table3[[#This Row],[Total oz]]-(16*Table3[[#This Row],[oz to lbs]])),0)</f>
        <v>0</v>
      </c>
      <c r="AA17" s="30" t="str">
        <f>_xlfn.CONCAT(Table3[[#This Row],[Total Lbs]]+Table3[[#This Row],[oz to lbs]]," lbs ",IF(Table3[[#This Row],[oz to lbs]]&gt;0,ROUND(Table3[[#This Row],[Converted Total Oz]],1),Table3[[#This Row],[Total oz]]), " oz")</f>
        <v>2 lbs 1 oz</v>
      </c>
      <c r="AB17" s="18">
        <f>Table3[[#This Row],[Tour'#1 Pts]]+Table3[[#This Row],[Tour'#2 Pts]]+Table3[[#This Row],[Tour'#3 Pts2]]+Table3[[#This Row],[Tour'#4 Pts2]]+Table3[[#This Row],[Tour'#5 Pts2]]+Table3[[#This Row],[Tour'#6 Pts]]+Table3[[#This Row],[Champ Pts]]</f>
        <v>20</v>
      </c>
    </row>
    <row r="18" spans="1:28" ht="42" x14ac:dyDescent="0.2">
      <c r="A18" s="17" t="s">
        <v>15</v>
      </c>
      <c r="B18" s="9">
        <f>VLOOKUP(Table3[[#This Row],[Name]],Table1[],5,FALSE)</f>
        <v>5</v>
      </c>
      <c r="C18" s="9">
        <f>VLOOKUP(Table3[[#This Row],[Name]],Table1[],6,FALSE)</f>
        <v>7.6</v>
      </c>
      <c r="D18" s="9">
        <f>VLOOKUP(Table3[[#This Row],[Name]],Table1[],7,FALSE)</f>
        <v>18</v>
      </c>
      <c r="E18" s="9">
        <f>VLOOKUP(Table3[[#This Row],[Name]],Table2[],5,FALSE)</f>
        <v>0</v>
      </c>
      <c r="F18" s="9">
        <f>VLOOKUP(Table3[[#This Row],[Name]],Table2[],6,FALSE)</f>
        <v>0</v>
      </c>
      <c r="G18" s="9">
        <f>VLOOKUP(Table3[[#This Row],[Name]],Table2[#All],7,FALSE)</f>
        <v>0</v>
      </c>
      <c r="H18" s="9">
        <f>VLOOKUP(Table3[[#This Row],[Name]],Table4[],5,FALSE)</f>
        <v>0</v>
      </c>
      <c r="I18" s="9">
        <f>VLOOKUP(Table3[[#This Row],[Name]],Table4[],6,FALSE)</f>
        <v>0</v>
      </c>
      <c r="J18" s="9">
        <f>VLOOKUP(Table3[[#This Row],[Name]],Table4[],7,FALSE)</f>
        <v>0</v>
      </c>
      <c r="K18" s="9">
        <f>VLOOKUP(Table3[[#This Row],[Name]],LkGrgResults[],5,FALSE)</f>
        <v>0</v>
      </c>
      <c r="L18" s="9">
        <f>VLOOKUP(Table3[[#This Row],[Name]],LkGrgResults[],6,FALSE)</f>
        <v>0</v>
      </c>
      <c r="M18" s="9">
        <f>VLOOKUP(Table3[[#This Row],[Name]],LkGrgResults[],7,FALSE)</f>
        <v>0</v>
      </c>
      <c r="N18" s="9">
        <f>VLOOKUP(Table3[[#This Row],[Name]],ChampResults[],5,FALSE)</f>
        <v>0</v>
      </c>
      <c r="O18" s="9">
        <f>VLOOKUP(Table3[[#This Row],[Name]],ChampResults[],6,FALSE)</f>
        <v>0</v>
      </c>
      <c r="P18" s="9">
        <f>VLOOKUP(Table3[[#This Row],[Name]],ChampResults[],7,FALSE)</f>
        <v>0</v>
      </c>
      <c r="Q18" s="9">
        <f>VLOOKUP(Table3[[#This Row],[Name]],BuelResults[],5,FALSE)</f>
        <v>0</v>
      </c>
      <c r="R18" s="9">
        <f>VLOOKUP(Table3[[#This Row],[Name]],BuelResults[],6,FALSE)</f>
        <v>0</v>
      </c>
      <c r="S18" s="9">
        <f>VLOOKUP(Table3[[#This Row],[Name]],BuelResults[],7,FALSE)</f>
        <v>0</v>
      </c>
      <c r="T18" s="9">
        <f>VLOOKUP(Table3[[#This Row],[Name]],SaraResults[],5,FALSE)</f>
        <v>0</v>
      </c>
      <c r="U18" s="9">
        <f>VLOOKUP(Table3[[#This Row],[Name]],SaraResults[],6,FALSE)</f>
        <v>0</v>
      </c>
      <c r="V18" s="9">
        <f>VLOOKUP(Table3[[#This Row],[Name]],SaraResults[],7,FALSE)</f>
        <v>0</v>
      </c>
      <c r="W18" s="16">
        <f>Table3[[#This Row],[Tour'#1 Lbs]]+Table3[[#This Row],[Tour'#2 Lbs]]+Table3[[#This Row],[Tour'#3 Lbs]]+Table3[[#This Row],[Tour'#4 Lbs]]+Table3[[#This Row],[Tour'#5 Lbs]]+Table3[[#This Row],[Tour'#6 Lbs]]+Table3[[#This Row],[Champ Lbs]]</f>
        <v>5</v>
      </c>
      <c r="X18" s="28">
        <f>Table3[[#This Row],[Tour'#1 Oz]]+Table3[[#This Row],[Tour'#2 Oz]]+Table3[[#This Row],[Tour'#3 Oz]]+Table3[[#This Row],[Tour'#4 Oz]]+Table3[[#This Row],[Tour'#5 Oz]]+Table3[[#This Row],[Tour'#6 Oz]]+Table3[[#This Row],[Champ Oz]]</f>
        <v>7.6</v>
      </c>
      <c r="Y18" s="29">
        <f>IF((Table3[[#This Row],[Total oz]])&gt;=16,ROUNDDOWN((Table3[[#This Row],[Total oz]]/16),0), )</f>
        <v>0</v>
      </c>
      <c r="Z18" s="29">
        <f>IF(Table3[[#This Row],[oz to lbs]]&gt;=1,(Table3[[#This Row],[Total oz]]-(16*Table3[[#This Row],[oz to lbs]])),0)</f>
        <v>0</v>
      </c>
      <c r="AA18" s="30" t="str">
        <f>_xlfn.CONCAT(Table3[[#This Row],[Total Lbs]]+Table3[[#This Row],[oz to lbs]]," lbs ",IF(Table3[[#This Row],[oz to lbs]]&gt;0,ROUND(Table3[[#This Row],[Converted Total Oz]],1),Table3[[#This Row],[Total oz]]), " oz")</f>
        <v>5 lbs 7.6 oz</v>
      </c>
      <c r="AB18" s="18">
        <f>Table3[[#This Row],[Tour'#1 Pts]]+Table3[[#This Row],[Tour'#2 Pts]]+Table3[[#This Row],[Tour'#3 Pts2]]+Table3[[#This Row],[Tour'#4 Pts2]]+Table3[[#This Row],[Tour'#5 Pts2]]+Table3[[#This Row],[Tour'#6 Pts]]+Table3[[#This Row],[Champ Pts]]</f>
        <v>18</v>
      </c>
    </row>
    <row r="19" spans="1:28" ht="43" thickBot="1" x14ac:dyDescent="0.25">
      <c r="A19" s="17" t="s">
        <v>40</v>
      </c>
      <c r="B19" s="9">
        <f>VLOOKUP(Table3[[#This Row],[Name]],Table1[],5,FALSE)</f>
        <v>0</v>
      </c>
      <c r="C19" s="9">
        <f>VLOOKUP(Table3[[#This Row],[Name]],Table1[],6,FALSE)</f>
        <v>0</v>
      </c>
      <c r="D19" s="9">
        <f>VLOOKUP(Table3[[#This Row],[Name]],Table1[],7,FALSE)</f>
        <v>0</v>
      </c>
      <c r="E19" s="9">
        <f>VLOOKUP(Table3[[#This Row],[Name]],Table2[],5,FALSE)</f>
        <v>0</v>
      </c>
      <c r="F19" s="9">
        <f>VLOOKUP(Table3[[#This Row],[Name]],Table2[],6,FALSE)</f>
        <v>0</v>
      </c>
      <c r="G19" s="9">
        <f>VLOOKUP(Table3[[#This Row],[Name]],Table2[#All],7,FALSE)</f>
        <v>0</v>
      </c>
      <c r="H19" s="9">
        <f>VLOOKUP(Table3[[#This Row],[Name]],Table4[],5,FALSE)</f>
        <v>0</v>
      </c>
      <c r="I19" s="9">
        <f>VLOOKUP(Table3[[#This Row],[Name]],Table4[],6,FALSE)</f>
        <v>0</v>
      </c>
      <c r="J19" s="9">
        <f>VLOOKUP(Table3[[#This Row],[Name]],Table4[],7,FALSE)</f>
        <v>0</v>
      </c>
      <c r="K19" s="9">
        <f>VLOOKUP(Table3[[#This Row],[Name]],LkGrgResults[],5,FALSE)</f>
        <v>0</v>
      </c>
      <c r="L19" s="9">
        <f>VLOOKUP(Table3[[#This Row],[Name]],LkGrgResults[],6,FALSE)</f>
        <v>0</v>
      </c>
      <c r="M19" s="9">
        <f>VLOOKUP(Table3[[#This Row],[Name]],LkGrgResults[],7,FALSE)</f>
        <v>0</v>
      </c>
      <c r="N19" s="9">
        <f>VLOOKUP(Table3[[#This Row],[Name]],ChampResults[],5,FALSE)</f>
        <v>0</v>
      </c>
      <c r="O19" s="9">
        <f>VLOOKUP(Table3[[#This Row],[Name]],ChampResults[],6,FALSE)</f>
        <v>0</v>
      </c>
      <c r="P19" s="9">
        <f>VLOOKUP(Table3[[#This Row],[Name]],ChampResults[],7,FALSE)</f>
        <v>0</v>
      </c>
      <c r="Q19" s="9">
        <f>VLOOKUP(Table3[[#This Row],[Name]],BuelResults[],5,FALSE)</f>
        <v>0</v>
      </c>
      <c r="R19" s="9">
        <f>VLOOKUP(Table3[[#This Row],[Name]],BuelResults[],6,FALSE)</f>
        <v>0</v>
      </c>
      <c r="S19" s="9">
        <f>VLOOKUP(Table3[[#This Row],[Name]],BuelResults[],7,FALSE)</f>
        <v>0</v>
      </c>
      <c r="T19" s="9">
        <f>VLOOKUP(Table3[[#This Row],[Name]],SaraResults[],5,FALSE)</f>
        <v>0</v>
      </c>
      <c r="U19" s="9">
        <f>VLOOKUP(Table3[[#This Row],[Name]],SaraResults[],6,FALSE)</f>
        <v>0</v>
      </c>
      <c r="V19" s="9">
        <f>VLOOKUP(Table3[[#This Row],[Name]],SaraResults[],7,FALSE)</f>
        <v>0</v>
      </c>
      <c r="W19" s="31">
        <f>Table3[[#This Row],[Tour'#1 Lbs]]+Table3[[#This Row],[Tour'#2 Lbs]]+Table3[[#This Row],[Tour'#3 Lbs]]+Table3[[#This Row],[Tour'#4 Lbs]]+Table3[[#This Row],[Tour'#5 Lbs]]+Table3[[#This Row],[Tour'#6 Lbs]]+Table3[[#This Row],[Champ Lbs]]</f>
        <v>0</v>
      </c>
      <c r="X19" s="32">
        <f>Table3[[#This Row],[Tour'#1 Oz]]+Table3[[#This Row],[Tour'#2 Oz]]+Table3[[#This Row],[Tour'#3 Oz]]+Table3[[#This Row],[Tour'#4 Oz]]+Table3[[#This Row],[Tour'#5 Oz]]+Table3[[#This Row],[Tour'#6 Oz]]+Table3[[#This Row],[Champ Oz]]</f>
        <v>0</v>
      </c>
      <c r="Y19" s="33">
        <f>IF((Table3[[#This Row],[Total oz]])&gt;=16,ROUNDDOWN((Table3[[#This Row],[Total oz]]/16),0), )</f>
        <v>0</v>
      </c>
      <c r="Z19" s="33">
        <f>IF(Table3[[#This Row],[oz to lbs]]&gt;=1,(Table3[[#This Row],[Total oz]]-(16*Table3[[#This Row],[oz to lbs]])),0)</f>
        <v>0</v>
      </c>
      <c r="AA19" s="34" t="str">
        <f>_xlfn.CONCAT(Table3[[#This Row],[Total Lbs]]+Table3[[#This Row],[oz to lbs]]," lbs ",IF(Table3[[#This Row],[oz to lbs]]&gt;0,ROUND(Table3[[#This Row],[Converted Total Oz]],1),Table3[[#This Row],[Total oz]]), " oz")</f>
        <v>0 lbs 0 oz</v>
      </c>
      <c r="AB19" s="35">
        <f>Table3[[#This Row],[Tour'#1 Pts]]+Table3[[#This Row],[Tour'#2 Pts]]+Table3[[#This Row],[Tour'#3 Pts2]]+Table3[[#This Row],[Tour'#4 Pts2]]+Table3[[#This Row],[Tour'#5 Pts2]]+Table3[[#This Row],[Tour'#6 Pts]]+Table3[[#This Row],[Champ Pts]]</f>
        <v>0</v>
      </c>
    </row>
    <row r="24" spans="1:28" x14ac:dyDescent="0.2">
      <c r="X24" s="19"/>
    </row>
  </sheetData>
  <phoneticPr fontId="5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4C18E-1ADF-6041-8B93-2506C84D631F}">
  <dimension ref="A1:G19"/>
  <sheetViews>
    <sheetView workbookViewId="0">
      <selection activeCell="I1" sqref="I1:I1048576"/>
    </sheetView>
  </sheetViews>
  <sheetFormatPr baseColWidth="10" defaultColWidth="12" defaultRowHeight="16" x14ac:dyDescent="0.2"/>
  <cols>
    <col min="1" max="1" width="18.5" customWidth="1"/>
    <col min="2" max="2" width="13.33203125" style="4" bestFit="1" customWidth="1"/>
    <col min="3" max="3" width="10.1640625" style="4" bestFit="1" customWidth="1"/>
    <col min="4" max="4" width="24.83203125" style="4" customWidth="1"/>
    <col min="5" max="5" width="14" style="4" bestFit="1" customWidth="1"/>
    <col min="6" max="6" width="13.83203125" style="4" bestFit="1" customWidth="1"/>
    <col min="7" max="7" width="14" style="4" bestFit="1" customWidth="1"/>
    <col min="8" max="16384" width="12" style="4"/>
  </cols>
  <sheetData>
    <row r="1" spans="1:7" ht="21" x14ac:dyDescent="0.2">
      <c r="A1" s="3" t="s">
        <v>0</v>
      </c>
      <c r="B1" s="3" t="s">
        <v>22</v>
      </c>
      <c r="C1" s="3" t="s">
        <v>23</v>
      </c>
      <c r="D1" s="3" t="s">
        <v>24</v>
      </c>
      <c r="E1" s="3" t="s">
        <v>26</v>
      </c>
      <c r="F1" s="3" t="s">
        <v>27</v>
      </c>
      <c r="G1" s="3" t="s">
        <v>25</v>
      </c>
    </row>
    <row r="2" spans="1:7" ht="21" x14ac:dyDescent="0.2">
      <c r="A2" s="5" t="s">
        <v>41</v>
      </c>
      <c r="B2" s="5">
        <v>1</v>
      </c>
      <c r="C2" s="5">
        <v>5</v>
      </c>
      <c r="D2" s="5" t="s">
        <v>1</v>
      </c>
      <c r="E2" s="7">
        <v>16</v>
      </c>
      <c r="F2" s="6">
        <v>15.8</v>
      </c>
      <c r="G2" s="7">
        <v>28</v>
      </c>
    </row>
    <row r="3" spans="1:7" ht="21" x14ac:dyDescent="0.2">
      <c r="A3" s="5" t="s">
        <v>42</v>
      </c>
      <c r="B3" s="5">
        <v>2</v>
      </c>
      <c r="C3" s="5">
        <v>5</v>
      </c>
      <c r="D3" s="5" t="s">
        <v>2</v>
      </c>
      <c r="E3" s="7">
        <v>13</v>
      </c>
      <c r="F3" s="6">
        <v>1.6</v>
      </c>
      <c r="G3" s="7">
        <v>27</v>
      </c>
    </row>
    <row r="4" spans="1:7" ht="21" x14ac:dyDescent="0.2">
      <c r="A4" s="5" t="s">
        <v>3</v>
      </c>
      <c r="B4" s="5">
        <v>3</v>
      </c>
      <c r="C4" s="5">
        <v>5</v>
      </c>
      <c r="D4" s="5" t="s">
        <v>4</v>
      </c>
      <c r="E4" s="7">
        <v>12</v>
      </c>
      <c r="F4" s="6">
        <v>4.5999999999999996</v>
      </c>
      <c r="G4" s="7">
        <v>26</v>
      </c>
    </row>
    <row r="5" spans="1:7" ht="21" x14ac:dyDescent="0.2">
      <c r="A5" s="5" t="s">
        <v>47</v>
      </c>
      <c r="B5" s="5">
        <v>4</v>
      </c>
      <c r="C5" s="5">
        <v>5</v>
      </c>
      <c r="D5" s="5" t="s">
        <v>5</v>
      </c>
      <c r="E5" s="7">
        <v>11</v>
      </c>
      <c r="F5" s="6">
        <v>15.6</v>
      </c>
      <c r="G5" s="7">
        <v>25</v>
      </c>
    </row>
    <row r="6" spans="1:7" ht="42" x14ac:dyDescent="0.2">
      <c r="A6" s="5" t="s">
        <v>70</v>
      </c>
      <c r="B6" s="5">
        <v>5</v>
      </c>
      <c r="C6" s="5">
        <v>5</v>
      </c>
      <c r="D6" s="5" t="s">
        <v>6</v>
      </c>
      <c r="E6" s="7">
        <v>10</v>
      </c>
      <c r="F6" s="6">
        <v>13.4</v>
      </c>
      <c r="G6" s="7">
        <v>24</v>
      </c>
    </row>
    <row r="7" spans="1:7" ht="21" x14ac:dyDescent="0.2">
      <c r="A7" s="5" t="s">
        <v>7</v>
      </c>
      <c r="B7" s="5">
        <v>6</v>
      </c>
      <c r="C7" s="5">
        <v>5</v>
      </c>
      <c r="D7" s="5" t="s">
        <v>8</v>
      </c>
      <c r="E7" s="7">
        <v>10</v>
      </c>
      <c r="F7" s="6">
        <v>12</v>
      </c>
      <c r="G7" s="7">
        <v>23</v>
      </c>
    </row>
    <row r="8" spans="1:7" ht="21" x14ac:dyDescent="0.2">
      <c r="A8" s="5" t="s">
        <v>46</v>
      </c>
      <c r="B8" s="5">
        <v>7</v>
      </c>
      <c r="C8" s="5">
        <v>5</v>
      </c>
      <c r="D8" s="5" t="s">
        <v>9</v>
      </c>
      <c r="E8" s="7">
        <v>10</v>
      </c>
      <c r="F8" s="6">
        <v>1.2</v>
      </c>
      <c r="G8" s="7">
        <v>22</v>
      </c>
    </row>
    <row r="9" spans="1:7" ht="21" x14ac:dyDescent="0.2">
      <c r="A9" s="5" t="s">
        <v>10</v>
      </c>
      <c r="B9" s="5">
        <v>8</v>
      </c>
      <c r="C9" s="5">
        <v>5</v>
      </c>
      <c r="D9" s="5" t="s">
        <v>11</v>
      </c>
      <c r="E9" s="7">
        <v>8</v>
      </c>
      <c r="F9" s="6">
        <v>13.8</v>
      </c>
      <c r="G9" s="7">
        <v>21</v>
      </c>
    </row>
    <row r="10" spans="1:7" ht="21" x14ac:dyDescent="0.2">
      <c r="A10" s="5" t="s">
        <v>38</v>
      </c>
      <c r="B10" s="5">
        <v>9</v>
      </c>
      <c r="C10" s="5">
        <v>5</v>
      </c>
      <c r="D10" s="5" t="s">
        <v>12</v>
      </c>
      <c r="E10" s="7">
        <v>8</v>
      </c>
      <c r="F10" s="6">
        <v>8.8000000000000007</v>
      </c>
      <c r="G10" s="7">
        <v>20</v>
      </c>
    </row>
    <row r="11" spans="1:7" ht="21" x14ac:dyDescent="0.2">
      <c r="A11" s="5" t="s">
        <v>13</v>
      </c>
      <c r="B11" s="5">
        <v>10</v>
      </c>
      <c r="C11" s="5">
        <v>4</v>
      </c>
      <c r="D11" s="5" t="s">
        <v>14</v>
      </c>
      <c r="E11" s="7">
        <v>7</v>
      </c>
      <c r="F11" s="6">
        <v>8.4</v>
      </c>
      <c r="G11" s="7">
        <v>19</v>
      </c>
    </row>
    <row r="12" spans="1:7" ht="21" x14ac:dyDescent="0.2">
      <c r="A12" s="5" t="s">
        <v>15</v>
      </c>
      <c r="B12" s="5">
        <v>11</v>
      </c>
      <c r="C12" s="5">
        <v>3</v>
      </c>
      <c r="D12" s="5" t="s">
        <v>16</v>
      </c>
      <c r="E12" s="7">
        <v>5</v>
      </c>
      <c r="F12" s="6">
        <v>7.6</v>
      </c>
      <c r="G12" s="7">
        <v>18</v>
      </c>
    </row>
    <row r="13" spans="1:7" ht="21" x14ac:dyDescent="0.2">
      <c r="A13" s="5" t="s">
        <v>17</v>
      </c>
      <c r="B13" s="5">
        <v>12</v>
      </c>
      <c r="C13" s="5">
        <v>2</v>
      </c>
      <c r="D13" s="5" t="s">
        <v>18</v>
      </c>
      <c r="E13" s="7">
        <v>3</v>
      </c>
      <c r="F13" s="6">
        <v>3.8</v>
      </c>
      <c r="G13" s="7">
        <v>17</v>
      </c>
    </row>
    <row r="14" spans="1:7" ht="21" x14ac:dyDescent="0.2">
      <c r="A14" s="5" t="s">
        <v>45</v>
      </c>
      <c r="B14" s="5">
        <v>13</v>
      </c>
      <c r="C14" s="5">
        <v>1</v>
      </c>
      <c r="D14" s="5" t="s">
        <v>19</v>
      </c>
      <c r="E14" s="7">
        <v>2</v>
      </c>
      <c r="F14" s="6">
        <v>7.6</v>
      </c>
      <c r="G14" s="7">
        <v>16</v>
      </c>
    </row>
    <row r="15" spans="1:7" ht="21" x14ac:dyDescent="0.2">
      <c r="A15" s="5" t="s">
        <v>44</v>
      </c>
      <c r="B15" s="5">
        <v>14</v>
      </c>
      <c r="C15" s="5">
        <v>1</v>
      </c>
      <c r="D15" s="5" t="s">
        <v>20</v>
      </c>
      <c r="E15" s="7">
        <v>1</v>
      </c>
      <c r="F15" s="6">
        <v>15</v>
      </c>
      <c r="G15" s="7">
        <v>15</v>
      </c>
    </row>
    <row r="16" spans="1:7" ht="21" x14ac:dyDescent="0.2">
      <c r="A16" s="5" t="s">
        <v>43</v>
      </c>
      <c r="B16" s="2" t="s">
        <v>65</v>
      </c>
      <c r="C16" s="2" t="s">
        <v>65</v>
      </c>
      <c r="D16" s="2" t="s">
        <v>65</v>
      </c>
      <c r="E16" s="2">
        <v>0</v>
      </c>
      <c r="F16" s="2">
        <v>0</v>
      </c>
      <c r="G16" s="2">
        <v>0</v>
      </c>
    </row>
    <row r="17" spans="1:7" ht="21" x14ac:dyDescent="0.2">
      <c r="A17" s="5" t="s">
        <v>81</v>
      </c>
      <c r="B17" s="2" t="s">
        <v>65</v>
      </c>
      <c r="C17" s="2" t="s">
        <v>65</v>
      </c>
      <c r="D17" s="2" t="s">
        <v>65</v>
      </c>
      <c r="E17" s="2">
        <v>0</v>
      </c>
      <c r="F17" s="2">
        <v>0</v>
      </c>
      <c r="G17" s="2">
        <v>0</v>
      </c>
    </row>
    <row r="18" spans="1:7" ht="21" x14ac:dyDescent="0.2">
      <c r="A18" s="5" t="s">
        <v>35</v>
      </c>
      <c r="B18" s="2" t="s">
        <v>65</v>
      </c>
      <c r="C18" s="2" t="s">
        <v>65</v>
      </c>
      <c r="D18" s="2" t="s">
        <v>65</v>
      </c>
      <c r="E18" s="2">
        <v>0</v>
      </c>
      <c r="F18" s="2">
        <v>0</v>
      </c>
      <c r="G18" s="2">
        <v>0</v>
      </c>
    </row>
    <row r="19" spans="1:7" ht="21" x14ac:dyDescent="0.2">
      <c r="A19" s="5" t="s">
        <v>40</v>
      </c>
      <c r="B19" s="2" t="s">
        <v>65</v>
      </c>
      <c r="C19" s="2" t="s">
        <v>65</v>
      </c>
      <c r="D19" s="2" t="s">
        <v>65</v>
      </c>
      <c r="E19" s="2">
        <v>0</v>
      </c>
      <c r="F19" s="2">
        <v>0</v>
      </c>
      <c r="G19" s="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5330C-1BFB-5D41-BDD8-50800FEBBA69}">
  <dimension ref="A1:G19"/>
  <sheetViews>
    <sheetView workbookViewId="0">
      <selection activeCell="B16" sqref="B16:G16"/>
    </sheetView>
  </sheetViews>
  <sheetFormatPr baseColWidth="10" defaultColWidth="11" defaultRowHeight="16" x14ac:dyDescent="0.2"/>
  <cols>
    <col min="1" max="1" width="16" bestFit="1" customWidth="1"/>
    <col min="2" max="2" width="29.6640625" bestFit="1" customWidth="1"/>
    <col min="3" max="3" width="12.83203125" customWidth="1"/>
    <col min="4" max="4" width="24.6640625" bestFit="1" customWidth="1"/>
    <col min="5" max="5" width="23.83203125" customWidth="1"/>
    <col min="6" max="6" width="13.5" customWidth="1"/>
    <col min="7" max="7" width="13.33203125" customWidth="1"/>
    <col min="8" max="8" width="13.5" customWidth="1"/>
  </cols>
  <sheetData>
    <row r="1" spans="1:7" ht="20" x14ac:dyDescent="0.2">
      <c r="A1" s="1" t="s">
        <v>0</v>
      </c>
      <c r="B1" s="1" t="s">
        <v>22</v>
      </c>
      <c r="C1" s="1" t="s">
        <v>23</v>
      </c>
      <c r="D1" s="1" t="s">
        <v>24</v>
      </c>
      <c r="E1" s="1" t="s">
        <v>26</v>
      </c>
      <c r="F1" s="1" t="s">
        <v>27</v>
      </c>
      <c r="G1" s="1" t="s">
        <v>25</v>
      </c>
    </row>
    <row r="2" spans="1:7" ht="20" x14ac:dyDescent="0.2">
      <c r="A2" s="2" t="s">
        <v>81</v>
      </c>
      <c r="B2" s="2">
        <v>1</v>
      </c>
      <c r="C2" s="2">
        <v>2</v>
      </c>
      <c r="D2" s="2" t="s">
        <v>28</v>
      </c>
      <c r="E2" s="2">
        <v>8</v>
      </c>
      <c r="F2" s="2">
        <v>2.8</v>
      </c>
      <c r="G2" s="2">
        <v>28</v>
      </c>
    </row>
    <row r="3" spans="1:7" ht="20" x14ac:dyDescent="0.2">
      <c r="A3" s="2" t="s">
        <v>46</v>
      </c>
      <c r="B3" s="2">
        <v>2</v>
      </c>
      <c r="C3" s="2">
        <v>2</v>
      </c>
      <c r="D3" s="2" t="s">
        <v>29</v>
      </c>
      <c r="E3" s="2">
        <v>7</v>
      </c>
      <c r="F3" s="2">
        <v>4.5999999999999996</v>
      </c>
      <c r="G3" s="2">
        <v>27</v>
      </c>
    </row>
    <row r="4" spans="1:7" ht="20" x14ac:dyDescent="0.2">
      <c r="A4" s="2" t="s">
        <v>47</v>
      </c>
      <c r="B4" s="2">
        <v>3</v>
      </c>
      <c r="C4" s="2">
        <v>5</v>
      </c>
      <c r="D4" s="2" t="s">
        <v>30</v>
      </c>
      <c r="E4" s="2">
        <v>7</v>
      </c>
      <c r="F4" s="2">
        <v>1</v>
      </c>
      <c r="G4" s="2">
        <v>26</v>
      </c>
    </row>
    <row r="5" spans="1:7" ht="20" x14ac:dyDescent="0.2">
      <c r="A5" s="2" t="s">
        <v>42</v>
      </c>
      <c r="B5" s="2">
        <v>4</v>
      </c>
      <c r="C5" s="2">
        <v>2</v>
      </c>
      <c r="D5" s="2" t="s">
        <v>31</v>
      </c>
      <c r="E5" s="2">
        <v>5</v>
      </c>
      <c r="F5" s="2">
        <v>9.4</v>
      </c>
      <c r="G5" s="2">
        <v>25</v>
      </c>
    </row>
    <row r="6" spans="1:7" ht="20" x14ac:dyDescent="0.2">
      <c r="A6" s="2" t="s">
        <v>45</v>
      </c>
      <c r="B6" s="2">
        <v>5</v>
      </c>
      <c r="C6" s="2">
        <v>3</v>
      </c>
      <c r="D6" s="2" t="s">
        <v>32</v>
      </c>
      <c r="E6" s="2">
        <v>4</v>
      </c>
      <c r="F6" s="2">
        <v>8.6</v>
      </c>
      <c r="G6" s="2">
        <v>24</v>
      </c>
    </row>
    <row r="7" spans="1:7" ht="20" x14ac:dyDescent="0.2">
      <c r="A7" s="2" t="s">
        <v>13</v>
      </c>
      <c r="B7" s="2">
        <v>6</v>
      </c>
      <c r="C7" s="2">
        <v>1</v>
      </c>
      <c r="D7" s="2" t="s">
        <v>33</v>
      </c>
      <c r="E7" s="2">
        <v>4</v>
      </c>
      <c r="F7" s="2">
        <v>1.6</v>
      </c>
      <c r="G7" s="2">
        <v>23</v>
      </c>
    </row>
    <row r="8" spans="1:7" ht="20" x14ac:dyDescent="0.2">
      <c r="A8" s="2" t="s">
        <v>44</v>
      </c>
      <c r="B8" s="2">
        <v>7</v>
      </c>
      <c r="C8" s="2">
        <v>1</v>
      </c>
      <c r="D8" s="2" t="s">
        <v>34</v>
      </c>
      <c r="E8" s="2">
        <v>3</v>
      </c>
      <c r="F8" s="2">
        <v>12</v>
      </c>
      <c r="G8" s="2">
        <v>22</v>
      </c>
    </row>
    <row r="9" spans="1:7" ht="20" x14ac:dyDescent="0.2">
      <c r="A9" s="2" t="s">
        <v>35</v>
      </c>
      <c r="B9" s="2">
        <v>8</v>
      </c>
      <c r="C9" s="2">
        <v>1</v>
      </c>
      <c r="D9" s="2" t="s">
        <v>36</v>
      </c>
      <c r="E9" s="2">
        <v>2</v>
      </c>
      <c r="F9" s="2">
        <v>5</v>
      </c>
      <c r="G9" s="2">
        <v>21</v>
      </c>
    </row>
    <row r="10" spans="1:7" ht="20" x14ac:dyDescent="0.2">
      <c r="A10" s="2" t="s">
        <v>43</v>
      </c>
      <c r="B10" s="2">
        <v>9</v>
      </c>
      <c r="C10" s="2">
        <v>1</v>
      </c>
      <c r="D10" s="2" t="s">
        <v>37</v>
      </c>
      <c r="E10" s="2">
        <v>2</v>
      </c>
      <c r="F10" s="2">
        <v>1</v>
      </c>
      <c r="G10" s="2">
        <v>20</v>
      </c>
    </row>
    <row r="11" spans="1:7" ht="20" x14ac:dyDescent="0.2">
      <c r="A11" s="2" t="s">
        <v>38</v>
      </c>
      <c r="B11" s="2">
        <v>10</v>
      </c>
      <c r="C11" s="2">
        <v>2</v>
      </c>
      <c r="D11" s="2" t="s">
        <v>37</v>
      </c>
      <c r="E11" s="2">
        <v>2</v>
      </c>
      <c r="F11" s="2">
        <v>1</v>
      </c>
      <c r="G11" s="2">
        <v>19</v>
      </c>
    </row>
    <row r="12" spans="1:7" ht="20" x14ac:dyDescent="0.2">
      <c r="A12" s="2" t="s">
        <v>15</v>
      </c>
      <c r="B12" s="2" t="s">
        <v>39</v>
      </c>
      <c r="C12" s="2"/>
      <c r="D12" s="2"/>
      <c r="E12" s="2">
        <v>0</v>
      </c>
      <c r="F12" s="2">
        <v>0</v>
      </c>
      <c r="G12" s="2">
        <v>0</v>
      </c>
    </row>
    <row r="13" spans="1:7" ht="20" x14ac:dyDescent="0.2">
      <c r="A13" s="2" t="s">
        <v>17</v>
      </c>
      <c r="B13" s="2" t="s">
        <v>39</v>
      </c>
      <c r="C13" s="2"/>
      <c r="D13" s="2"/>
      <c r="E13" s="2">
        <v>0</v>
      </c>
      <c r="F13" s="2">
        <v>0</v>
      </c>
      <c r="G13" s="2">
        <v>0</v>
      </c>
    </row>
    <row r="14" spans="1:7" ht="20" x14ac:dyDescent="0.2">
      <c r="A14" s="2" t="s">
        <v>7</v>
      </c>
      <c r="B14" s="2" t="s">
        <v>39</v>
      </c>
      <c r="C14" s="2"/>
      <c r="D14" s="2"/>
      <c r="E14" s="2">
        <v>0</v>
      </c>
      <c r="F14" s="2">
        <v>0</v>
      </c>
      <c r="G14" s="2">
        <v>0</v>
      </c>
    </row>
    <row r="15" spans="1:7" ht="20" x14ac:dyDescent="0.2">
      <c r="A15" s="2" t="s">
        <v>40</v>
      </c>
      <c r="B15" s="2" t="s">
        <v>39</v>
      </c>
      <c r="C15" s="2"/>
      <c r="D15" s="2"/>
      <c r="E15" s="2">
        <v>0</v>
      </c>
      <c r="F15" s="2">
        <v>0</v>
      </c>
      <c r="G15" s="2">
        <v>0</v>
      </c>
    </row>
    <row r="16" spans="1:7" ht="20" x14ac:dyDescent="0.2">
      <c r="A16" s="2" t="s">
        <v>41</v>
      </c>
      <c r="B16" s="2" t="s">
        <v>65</v>
      </c>
      <c r="C16" s="2" t="s">
        <v>65</v>
      </c>
      <c r="D16" s="2" t="s">
        <v>65</v>
      </c>
      <c r="E16" s="2">
        <v>0</v>
      </c>
      <c r="F16" s="2">
        <v>0</v>
      </c>
      <c r="G16" s="2">
        <v>0</v>
      </c>
    </row>
    <row r="17" spans="1:7" ht="20" x14ac:dyDescent="0.2">
      <c r="A17" s="2" t="s">
        <v>10</v>
      </c>
      <c r="B17" s="2" t="s">
        <v>65</v>
      </c>
      <c r="C17" s="2" t="s">
        <v>65</v>
      </c>
      <c r="D17" s="2" t="s">
        <v>65</v>
      </c>
      <c r="E17" s="2">
        <v>0</v>
      </c>
      <c r="F17" s="2">
        <v>0</v>
      </c>
      <c r="G17" s="2">
        <v>0</v>
      </c>
    </row>
    <row r="18" spans="1:7" ht="20" x14ac:dyDescent="0.2">
      <c r="A18" s="2" t="s">
        <v>3</v>
      </c>
      <c r="B18" s="2" t="s">
        <v>65</v>
      </c>
      <c r="C18" s="2" t="s">
        <v>65</v>
      </c>
      <c r="D18" s="2" t="s">
        <v>65</v>
      </c>
      <c r="E18" s="2">
        <v>0</v>
      </c>
      <c r="F18" s="2">
        <v>0</v>
      </c>
      <c r="G18" s="2">
        <v>0</v>
      </c>
    </row>
    <row r="19" spans="1:7" ht="20" x14ac:dyDescent="0.2">
      <c r="A19" s="2" t="s">
        <v>70</v>
      </c>
      <c r="B19" s="2" t="s">
        <v>65</v>
      </c>
      <c r="C19" s="2" t="s">
        <v>65</v>
      </c>
      <c r="D19" s="2" t="s">
        <v>65</v>
      </c>
      <c r="E19" s="2">
        <v>0</v>
      </c>
      <c r="F19" s="2">
        <v>0</v>
      </c>
      <c r="G19" s="2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A5930-0871-B64F-9BC4-F14423F993A2}">
  <dimension ref="A1:G19"/>
  <sheetViews>
    <sheetView workbookViewId="0">
      <selection activeCell="G19" sqref="A13:G19"/>
    </sheetView>
  </sheetViews>
  <sheetFormatPr baseColWidth="10" defaultRowHeight="16" x14ac:dyDescent="0.2"/>
  <cols>
    <col min="1" max="1" width="20.83203125" bestFit="1" customWidth="1"/>
    <col min="2" max="2" width="12.83203125" customWidth="1"/>
    <col min="4" max="4" width="23.83203125" customWidth="1"/>
    <col min="5" max="5" width="13.5" customWidth="1"/>
    <col min="6" max="6" width="13.33203125" customWidth="1"/>
    <col min="7" max="7" width="13.5" customWidth="1"/>
  </cols>
  <sheetData>
    <row r="1" spans="1:7" ht="20" x14ac:dyDescent="0.2">
      <c r="A1" s="23" t="s">
        <v>0</v>
      </c>
      <c r="B1" s="24" t="s">
        <v>22</v>
      </c>
      <c r="C1" s="24" t="s">
        <v>23</v>
      </c>
      <c r="D1" s="24" t="s">
        <v>24</v>
      </c>
      <c r="E1" s="24" t="s">
        <v>26</v>
      </c>
      <c r="F1" s="24" t="s">
        <v>27</v>
      </c>
      <c r="G1" s="25" t="s">
        <v>25</v>
      </c>
    </row>
    <row r="2" spans="1:7" ht="20" x14ac:dyDescent="0.2">
      <c r="A2" s="21" t="s">
        <v>47</v>
      </c>
      <c r="B2" s="27">
        <v>1</v>
      </c>
      <c r="C2" s="27">
        <v>5</v>
      </c>
      <c r="D2" s="27" t="s">
        <v>78</v>
      </c>
      <c r="E2" s="27">
        <v>15</v>
      </c>
      <c r="F2" s="27">
        <v>2</v>
      </c>
      <c r="G2" s="27">
        <v>28</v>
      </c>
    </row>
    <row r="3" spans="1:7" ht="20" x14ac:dyDescent="0.2">
      <c r="A3" s="20" t="s">
        <v>42</v>
      </c>
      <c r="B3" s="27">
        <v>2</v>
      </c>
      <c r="C3" s="27">
        <v>5</v>
      </c>
      <c r="D3" s="27" t="s">
        <v>80</v>
      </c>
      <c r="E3" s="27">
        <v>12</v>
      </c>
      <c r="F3" s="27">
        <v>7.6</v>
      </c>
      <c r="G3" s="27">
        <v>27</v>
      </c>
    </row>
    <row r="4" spans="1:7" ht="20" x14ac:dyDescent="0.2">
      <c r="A4" s="21" t="s">
        <v>13</v>
      </c>
      <c r="B4" s="27">
        <v>3</v>
      </c>
      <c r="C4" s="27">
        <v>5</v>
      </c>
      <c r="D4" s="27" t="s">
        <v>79</v>
      </c>
      <c r="E4" s="27">
        <v>11</v>
      </c>
      <c r="F4" s="27">
        <v>5.4</v>
      </c>
      <c r="G4" s="27">
        <v>26</v>
      </c>
    </row>
    <row r="5" spans="1:7" ht="20" x14ac:dyDescent="0.2">
      <c r="A5" s="20" t="s">
        <v>44</v>
      </c>
      <c r="B5" s="27">
        <v>4</v>
      </c>
      <c r="C5" s="27">
        <v>5</v>
      </c>
      <c r="D5" s="27" t="s">
        <v>75</v>
      </c>
      <c r="E5" s="27">
        <v>10</v>
      </c>
      <c r="F5" s="27">
        <v>8.1999999999999993</v>
      </c>
      <c r="G5" s="27">
        <v>25</v>
      </c>
    </row>
    <row r="6" spans="1:7" ht="20" x14ac:dyDescent="0.2">
      <c r="A6" s="21" t="s">
        <v>38</v>
      </c>
      <c r="B6" s="27">
        <v>5</v>
      </c>
      <c r="C6" s="27">
        <v>5</v>
      </c>
      <c r="D6" s="27" t="s">
        <v>85</v>
      </c>
      <c r="E6" s="27">
        <v>9</v>
      </c>
      <c r="F6" s="27">
        <v>12.4</v>
      </c>
      <c r="G6" s="27">
        <v>24</v>
      </c>
    </row>
    <row r="7" spans="1:7" ht="20" x14ac:dyDescent="0.2">
      <c r="A7" s="20" t="s">
        <v>10</v>
      </c>
      <c r="B7" s="27">
        <v>6</v>
      </c>
      <c r="C7" s="27">
        <v>5</v>
      </c>
      <c r="D7" s="27" t="s">
        <v>74</v>
      </c>
      <c r="E7" s="27">
        <v>9</v>
      </c>
      <c r="F7" s="27">
        <v>7.8</v>
      </c>
      <c r="G7" s="27">
        <v>23</v>
      </c>
    </row>
    <row r="8" spans="1:7" ht="20" x14ac:dyDescent="0.2">
      <c r="A8" s="20" t="s">
        <v>46</v>
      </c>
      <c r="B8" s="27">
        <v>7</v>
      </c>
      <c r="C8" s="27">
        <v>5</v>
      </c>
      <c r="D8" s="27" t="s">
        <v>77</v>
      </c>
      <c r="E8" s="27">
        <v>9</v>
      </c>
      <c r="F8" s="27">
        <v>5.6</v>
      </c>
      <c r="G8" s="27">
        <v>22</v>
      </c>
    </row>
    <row r="9" spans="1:7" ht="20" x14ac:dyDescent="0.2">
      <c r="A9" s="20" t="s">
        <v>81</v>
      </c>
      <c r="B9" s="27">
        <v>8</v>
      </c>
      <c r="C9" s="27">
        <v>5</v>
      </c>
      <c r="D9" s="27" t="s">
        <v>82</v>
      </c>
      <c r="E9" s="27">
        <v>9</v>
      </c>
      <c r="F9" s="27">
        <v>1.2</v>
      </c>
      <c r="G9" s="27">
        <v>21</v>
      </c>
    </row>
    <row r="10" spans="1:7" ht="20" x14ac:dyDescent="0.2">
      <c r="A10" s="20" t="s">
        <v>45</v>
      </c>
      <c r="B10" s="27">
        <v>9</v>
      </c>
      <c r="C10" s="27">
        <v>5</v>
      </c>
      <c r="D10" s="27" t="s">
        <v>76</v>
      </c>
      <c r="E10" s="27">
        <v>7</v>
      </c>
      <c r="F10" s="27">
        <v>14.4</v>
      </c>
      <c r="G10" s="27">
        <v>20</v>
      </c>
    </row>
    <row r="11" spans="1:7" ht="20" x14ac:dyDescent="0.2">
      <c r="A11" s="21" t="s">
        <v>7</v>
      </c>
      <c r="B11" s="27">
        <v>10</v>
      </c>
      <c r="C11" s="27">
        <v>4</v>
      </c>
      <c r="D11" s="27" t="s">
        <v>83</v>
      </c>
      <c r="E11" s="27">
        <v>6</v>
      </c>
      <c r="F11" s="27">
        <v>3.2</v>
      </c>
      <c r="G11" s="27">
        <v>19</v>
      </c>
    </row>
    <row r="12" spans="1:7" ht="20" x14ac:dyDescent="0.2">
      <c r="A12" s="21" t="s">
        <v>17</v>
      </c>
      <c r="B12" s="27">
        <v>11</v>
      </c>
      <c r="C12" s="27">
        <v>4</v>
      </c>
      <c r="D12" s="27" t="s">
        <v>84</v>
      </c>
      <c r="E12" s="27">
        <v>5</v>
      </c>
      <c r="F12" s="27">
        <v>2</v>
      </c>
      <c r="G12" s="27">
        <v>18</v>
      </c>
    </row>
    <row r="13" spans="1:7" ht="20" x14ac:dyDescent="0.2">
      <c r="A13" s="21" t="s">
        <v>35</v>
      </c>
      <c r="B13" s="27" t="s">
        <v>39</v>
      </c>
      <c r="C13" s="27" t="s">
        <v>39</v>
      </c>
      <c r="D13" s="27" t="s">
        <v>39</v>
      </c>
      <c r="E13" s="27">
        <v>0</v>
      </c>
      <c r="F13" s="27">
        <v>0</v>
      </c>
      <c r="G13" s="27">
        <v>0</v>
      </c>
    </row>
    <row r="14" spans="1:7" ht="20" x14ac:dyDescent="0.2">
      <c r="A14" s="21" t="s">
        <v>41</v>
      </c>
      <c r="B14" s="27" t="s">
        <v>65</v>
      </c>
      <c r="C14" s="27" t="s">
        <v>65</v>
      </c>
      <c r="D14" s="27" t="s">
        <v>65</v>
      </c>
      <c r="E14" s="27">
        <v>0</v>
      </c>
      <c r="F14" s="27">
        <v>0</v>
      </c>
      <c r="G14" s="27">
        <v>0</v>
      </c>
    </row>
    <row r="15" spans="1:7" ht="20" x14ac:dyDescent="0.2">
      <c r="A15" s="21" t="s">
        <v>3</v>
      </c>
      <c r="B15" s="27" t="s">
        <v>65</v>
      </c>
      <c r="C15" s="27" t="s">
        <v>65</v>
      </c>
      <c r="D15" s="27" t="s">
        <v>65</v>
      </c>
      <c r="E15" s="27">
        <v>0</v>
      </c>
      <c r="F15" s="27">
        <v>0</v>
      </c>
      <c r="G15" s="27">
        <v>0</v>
      </c>
    </row>
    <row r="16" spans="1:7" ht="20" x14ac:dyDescent="0.2">
      <c r="A16" s="20" t="s">
        <v>70</v>
      </c>
      <c r="B16" s="27" t="s">
        <v>65</v>
      </c>
      <c r="C16" s="27" t="s">
        <v>65</v>
      </c>
      <c r="D16" s="27" t="s">
        <v>65</v>
      </c>
      <c r="E16" s="27">
        <v>0</v>
      </c>
      <c r="F16" s="27">
        <v>0</v>
      </c>
      <c r="G16" s="27">
        <v>0</v>
      </c>
    </row>
    <row r="17" spans="1:7" ht="20" x14ac:dyDescent="0.2">
      <c r="A17" s="22" t="s">
        <v>43</v>
      </c>
      <c r="B17" s="27" t="s">
        <v>65</v>
      </c>
      <c r="C17" s="27" t="s">
        <v>65</v>
      </c>
      <c r="D17" s="27" t="s">
        <v>65</v>
      </c>
      <c r="E17" s="27">
        <v>0</v>
      </c>
      <c r="F17" s="27">
        <v>0</v>
      </c>
      <c r="G17" s="27">
        <v>0</v>
      </c>
    </row>
    <row r="18" spans="1:7" ht="20" x14ac:dyDescent="0.2">
      <c r="A18" s="26" t="s">
        <v>15</v>
      </c>
      <c r="B18" s="27" t="s">
        <v>65</v>
      </c>
      <c r="C18" s="27" t="s">
        <v>65</v>
      </c>
      <c r="D18" s="27" t="s">
        <v>65</v>
      </c>
      <c r="E18" s="27">
        <v>0</v>
      </c>
      <c r="F18" s="27">
        <v>0</v>
      </c>
      <c r="G18" s="27">
        <v>0</v>
      </c>
    </row>
    <row r="19" spans="1:7" ht="20" x14ac:dyDescent="0.2">
      <c r="A19" s="22" t="s">
        <v>40</v>
      </c>
      <c r="B19" s="27" t="s">
        <v>65</v>
      </c>
      <c r="C19" s="27" t="s">
        <v>65</v>
      </c>
      <c r="D19" s="27" t="s">
        <v>65</v>
      </c>
      <c r="E19" s="27">
        <v>0</v>
      </c>
      <c r="F19" s="27">
        <v>0</v>
      </c>
      <c r="G19" s="27">
        <v>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AB61E-E32F-334D-A129-AE9D2880D54B}">
  <dimension ref="A1:G20"/>
  <sheetViews>
    <sheetView workbookViewId="0"/>
  </sheetViews>
  <sheetFormatPr baseColWidth="10" defaultRowHeight="16" x14ac:dyDescent="0.2"/>
  <cols>
    <col min="1" max="1" width="20.83203125" bestFit="1" customWidth="1"/>
    <col min="2" max="2" width="12.83203125" customWidth="1"/>
    <col min="3" max="3" width="9.6640625" customWidth="1"/>
    <col min="4" max="4" width="23.83203125" customWidth="1"/>
    <col min="5" max="5" width="13.5" customWidth="1"/>
    <col min="6" max="6" width="13.33203125" customWidth="1"/>
    <col min="7" max="7" width="13.5" customWidth="1"/>
  </cols>
  <sheetData>
    <row r="1" spans="1:7" ht="20" x14ac:dyDescent="0.2">
      <c r="A1" s="23" t="s">
        <v>0</v>
      </c>
      <c r="B1" s="24" t="s">
        <v>22</v>
      </c>
      <c r="C1" s="24" t="s">
        <v>23</v>
      </c>
      <c r="D1" s="24" t="s">
        <v>24</v>
      </c>
      <c r="E1" s="24" t="s">
        <v>26</v>
      </c>
      <c r="F1" s="24" t="s">
        <v>27</v>
      </c>
      <c r="G1" s="25" t="s">
        <v>25</v>
      </c>
    </row>
    <row r="2" spans="1:7" ht="20" x14ac:dyDescent="0.2">
      <c r="A2" s="10" t="s">
        <v>47</v>
      </c>
      <c r="B2" s="11">
        <v>1</v>
      </c>
      <c r="C2" s="11">
        <v>5</v>
      </c>
      <c r="D2" s="11" t="s">
        <v>86</v>
      </c>
      <c r="E2" s="11">
        <v>15</v>
      </c>
      <c r="F2" s="11">
        <v>14.2</v>
      </c>
      <c r="G2" s="12">
        <v>28</v>
      </c>
    </row>
    <row r="3" spans="1:7" ht="20" x14ac:dyDescent="0.2">
      <c r="A3" s="10" t="s">
        <v>41</v>
      </c>
      <c r="B3" s="11">
        <v>2</v>
      </c>
      <c r="C3" s="11">
        <v>5</v>
      </c>
      <c r="D3" s="11" t="s">
        <v>88</v>
      </c>
      <c r="E3" s="11">
        <v>14</v>
      </c>
      <c r="F3" s="11">
        <v>11.6</v>
      </c>
      <c r="G3" s="12">
        <v>27</v>
      </c>
    </row>
    <row r="4" spans="1:7" ht="20" x14ac:dyDescent="0.2">
      <c r="A4" s="10" t="s">
        <v>44</v>
      </c>
      <c r="B4" s="11">
        <v>3</v>
      </c>
      <c r="C4" s="11">
        <v>5</v>
      </c>
      <c r="D4" s="11" t="s">
        <v>87</v>
      </c>
      <c r="E4" s="11">
        <v>13</v>
      </c>
      <c r="F4" s="11">
        <v>13.2</v>
      </c>
      <c r="G4" s="12">
        <v>26</v>
      </c>
    </row>
    <row r="5" spans="1:7" ht="20" x14ac:dyDescent="0.2">
      <c r="A5" s="10" t="s">
        <v>38</v>
      </c>
      <c r="B5" s="11">
        <v>4</v>
      </c>
      <c r="C5" s="11">
        <v>5</v>
      </c>
      <c r="D5" s="11" t="s">
        <v>89</v>
      </c>
      <c r="E5" s="11">
        <v>11</v>
      </c>
      <c r="F5" s="11">
        <v>9.6</v>
      </c>
      <c r="G5" s="12">
        <v>25</v>
      </c>
    </row>
    <row r="6" spans="1:7" ht="20" x14ac:dyDescent="0.2">
      <c r="A6" s="10" t="s">
        <v>45</v>
      </c>
      <c r="B6" s="11">
        <v>5</v>
      </c>
      <c r="C6" s="11">
        <v>5</v>
      </c>
      <c r="D6" s="11" t="s">
        <v>90</v>
      </c>
      <c r="E6" s="11">
        <v>10</v>
      </c>
      <c r="F6" s="11">
        <v>13.6</v>
      </c>
      <c r="G6" s="12">
        <v>24</v>
      </c>
    </row>
    <row r="7" spans="1:7" ht="20" x14ac:dyDescent="0.2">
      <c r="A7" s="10" t="s">
        <v>17</v>
      </c>
      <c r="B7" s="11">
        <v>6</v>
      </c>
      <c r="C7" s="11">
        <v>5</v>
      </c>
      <c r="D7" s="11" t="s">
        <v>91</v>
      </c>
      <c r="E7" s="11">
        <v>7</v>
      </c>
      <c r="F7" s="11">
        <v>9.6</v>
      </c>
      <c r="G7" s="12">
        <v>23</v>
      </c>
    </row>
    <row r="8" spans="1:7" ht="20" x14ac:dyDescent="0.2">
      <c r="A8" s="21" t="s">
        <v>35</v>
      </c>
      <c r="B8" s="36" t="s">
        <v>65</v>
      </c>
      <c r="C8" s="36" t="s">
        <v>65</v>
      </c>
      <c r="D8" s="36" t="s">
        <v>65</v>
      </c>
      <c r="E8" s="36">
        <v>0</v>
      </c>
      <c r="F8" s="36">
        <v>0</v>
      </c>
      <c r="G8" s="37">
        <v>0</v>
      </c>
    </row>
    <row r="9" spans="1:7" ht="20" x14ac:dyDescent="0.2">
      <c r="A9" s="21" t="s">
        <v>41</v>
      </c>
      <c r="B9" s="36" t="s">
        <v>65</v>
      </c>
      <c r="C9" s="36" t="s">
        <v>65</v>
      </c>
      <c r="D9" s="36" t="s">
        <v>65</v>
      </c>
      <c r="E9" s="36">
        <v>0</v>
      </c>
      <c r="F9" s="36">
        <v>0</v>
      </c>
      <c r="G9" s="37">
        <v>0</v>
      </c>
    </row>
    <row r="10" spans="1:7" ht="20" x14ac:dyDescent="0.2">
      <c r="A10" s="21" t="s">
        <v>3</v>
      </c>
      <c r="B10" s="36" t="s">
        <v>65</v>
      </c>
      <c r="C10" s="36" t="s">
        <v>65</v>
      </c>
      <c r="D10" s="36" t="s">
        <v>65</v>
      </c>
      <c r="E10" s="36">
        <v>0</v>
      </c>
      <c r="F10" s="36">
        <v>0</v>
      </c>
      <c r="G10" s="37">
        <v>0</v>
      </c>
    </row>
    <row r="11" spans="1:7" ht="20" x14ac:dyDescent="0.2">
      <c r="A11" s="20" t="s">
        <v>70</v>
      </c>
      <c r="B11" s="36" t="s">
        <v>65</v>
      </c>
      <c r="C11" s="36" t="s">
        <v>65</v>
      </c>
      <c r="D11" s="36" t="s">
        <v>65</v>
      </c>
      <c r="E11" s="36">
        <v>0</v>
      </c>
      <c r="F11" s="36">
        <v>0</v>
      </c>
      <c r="G11" s="37">
        <v>0</v>
      </c>
    </row>
    <row r="12" spans="1:7" ht="20" x14ac:dyDescent="0.2">
      <c r="A12" s="21" t="s">
        <v>43</v>
      </c>
      <c r="B12" s="36" t="s">
        <v>65</v>
      </c>
      <c r="C12" s="36" t="s">
        <v>65</v>
      </c>
      <c r="D12" s="36" t="s">
        <v>65</v>
      </c>
      <c r="E12" s="36">
        <v>0</v>
      </c>
      <c r="F12" s="36">
        <v>0</v>
      </c>
      <c r="G12" s="37">
        <v>0</v>
      </c>
    </row>
    <row r="13" spans="1:7" ht="20" x14ac:dyDescent="0.2">
      <c r="A13" s="20" t="s">
        <v>15</v>
      </c>
      <c r="B13" s="36" t="s">
        <v>65</v>
      </c>
      <c r="C13" s="36" t="s">
        <v>65</v>
      </c>
      <c r="D13" s="36" t="s">
        <v>65</v>
      </c>
      <c r="E13" s="36">
        <v>0</v>
      </c>
      <c r="F13" s="36">
        <v>0</v>
      </c>
      <c r="G13" s="37">
        <v>0</v>
      </c>
    </row>
    <row r="14" spans="1:7" ht="20" x14ac:dyDescent="0.2">
      <c r="A14" s="22" t="s">
        <v>40</v>
      </c>
      <c r="B14" s="38" t="s">
        <v>65</v>
      </c>
      <c r="C14" s="38" t="s">
        <v>65</v>
      </c>
      <c r="D14" s="38" t="s">
        <v>65</v>
      </c>
      <c r="E14" s="38">
        <v>0</v>
      </c>
      <c r="F14" s="38">
        <v>0</v>
      </c>
      <c r="G14" s="39">
        <v>0</v>
      </c>
    </row>
    <row r="15" spans="1:7" ht="20" x14ac:dyDescent="0.2">
      <c r="A15" s="22" t="s">
        <v>42</v>
      </c>
      <c r="B15" s="38" t="s">
        <v>65</v>
      </c>
      <c r="C15" s="38" t="s">
        <v>65</v>
      </c>
      <c r="D15" s="38" t="s">
        <v>65</v>
      </c>
      <c r="E15" s="38">
        <v>0</v>
      </c>
      <c r="F15" s="38">
        <v>0</v>
      </c>
      <c r="G15" s="39">
        <v>0</v>
      </c>
    </row>
    <row r="16" spans="1:7" ht="20" x14ac:dyDescent="0.2">
      <c r="A16" s="22" t="s">
        <v>46</v>
      </c>
      <c r="B16" s="38" t="s">
        <v>65</v>
      </c>
      <c r="C16" s="38" t="s">
        <v>65</v>
      </c>
      <c r="D16" s="38" t="s">
        <v>65</v>
      </c>
      <c r="E16" s="38">
        <v>0</v>
      </c>
      <c r="F16" s="38">
        <v>0</v>
      </c>
      <c r="G16" s="39">
        <v>0</v>
      </c>
    </row>
    <row r="17" spans="1:7" ht="20" x14ac:dyDescent="0.2">
      <c r="A17" s="22" t="s">
        <v>13</v>
      </c>
      <c r="B17" s="38" t="s">
        <v>65</v>
      </c>
      <c r="C17" s="38" t="s">
        <v>65</v>
      </c>
      <c r="D17" s="38" t="s">
        <v>65</v>
      </c>
      <c r="E17" s="38">
        <v>0</v>
      </c>
      <c r="F17" s="38">
        <v>0</v>
      </c>
      <c r="G17" s="39">
        <v>0</v>
      </c>
    </row>
    <row r="18" spans="1:7" ht="20" x14ac:dyDescent="0.2">
      <c r="A18" s="22" t="s">
        <v>81</v>
      </c>
      <c r="B18" s="38" t="s">
        <v>65</v>
      </c>
      <c r="C18" s="38" t="s">
        <v>65</v>
      </c>
      <c r="D18" s="38" t="s">
        <v>65</v>
      </c>
      <c r="E18" s="38">
        <v>0</v>
      </c>
      <c r="F18" s="38">
        <v>0</v>
      </c>
      <c r="G18" s="39">
        <v>0</v>
      </c>
    </row>
    <row r="19" spans="1:7" ht="20" x14ac:dyDescent="0.2">
      <c r="A19" s="22" t="s">
        <v>7</v>
      </c>
      <c r="B19" s="38" t="s">
        <v>65</v>
      </c>
      <c r="C19" s="38" t="s">
        <v>65</v>
      </c>
      <c r="D19" s="38" t="s">
        <v>65</v>
      </c>
      <c r="E19" s="38">
        <v>0</v>
      </c>
      <c r="F19" s="38">
        <v>0</v>
      </c>
      <c r="G19" s="39">
        <v>0</v>
      </c>
    </row>
    <row r="20" spans="1:7" ht="20" x14ac:dyDescent="0.2">
      <c r="A20" s="22" t="s">
        <v>10</v>
      </c>
      <c r="B20" s="38" t="s">
        <v>65</v>
      </c>
      <c r="C20" s="38" t="s">
        <v>65</v>
      </c>
      <c r="D20" s="38" t="s">
        <v>65</v>
      </c>
      <c r="E20" s="38">
        <v>0</v>
      </c>
      <c r="F20" s="38">
        <v>0</v>
      </c>
      <c r="G20" s="39">
        <v>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92693-B4E3-4C43-BE5F-8CCDF932236D}">
  <dimension ref="A1:G19"/>
  <sheetViews>
    <sheetView workbookViewId="0">
      <selection activeCell="A2" sqref="A2:G19"/>
    </sheetView>
  </sheetViews>
  <sheetFormatPr baseColWidth="10" defaultRowHeight="16" x14ac:dyDescent="0.2"/>
  <cols>
    <col min="1" max="1" width="20.83203125" bestFit="1" customWidth="1"/>
    <col min="2" max="3" width="15.5" bestFit="1" customWidth="1"/>
    <col min="4" max="4" width="23.83203125" customWidth="1"/>
    <col min="5" max="5" width="13.5" customWidth="1"/>
    <col min="6" max="6" width="13.33203125" customWidth="1"/>
    <col min="7" max="7" width="13.5" customWidth="1"/>
  </cols>
  <sheetData>
    <row r="1" spans="1:7" ht="20" x14ac:dyDescent="0.2">
      <c r="A1" s="23" t="s">
        <v>0</v>
      </c>
      <c r="B1" s="24" t="s">
        <v>22</v>
      </c>
      <c r="C1" s="24" t="s">
        <v>23</v>
      </c>
      <c r="D1" s="24" t="s">
        <v>24</v>
      </c>
      <c r="E1" s="24" t="s">
        <v>26</v>
      </c>
      <c r="F1" s="24" t="s">
        <v>27</v>
      </c>
      <c r="G1" s="25" t="s">
        <v>25</v>
      </c>
    </row>
    <row r="2" spans="1:7" ht="20" x14ac:dyDescent="0.2">
      <c r="A2" s="43" t="s">
        <v>10</v>
      </c>
      <c r="B2" s="38">
        <v>1</v>
      </c>
      <c r="C2" s="38">
        <v>5</v>
      </c>
      <c r="D2" s="38" t="s">
        <v>93</v>
      </c>
      <c r="E2" s="38">
        <v>17</v>
      </c>
      <c r="F2" s="38">
        <v>8.8000000000000007</v>
      </c>
      <c r="G2" s="39">
        <v>28</v>
      </c>
    </row>
    <row r="3" spans="1:7" ht="20" x14ac:dyDescent="0.2">
      <c r="A3" s="44" t="s">
        <v>46</v>
      </c>
      <c r="B3" s="36">
        <v>2</v>
      </c>
      <c r="C3" s="36">
        <v>5</v>
      </c>
      <c r="D3" s="38" t="s">
        <v>95</v>
      </c>
      <c r="E3" s="36">
        <v>16</v>
      </c>
      <c r="F3" s="36">
        <v>10.4</v>
      </c>
      <c r="G3" s="37">
        <v>27</v>
      </c>
    </row>
    <row r="4" spans="1:7" ht="20" x14ac:dyDescent="0.2">
      <c r="A4" s="44" t="s">
        <v>41</v>
      </c>
      <c r="B4" s="36">
        <v>3</v>
      </c>
      <c r="C4" s="36">
        <v>5</v>
      </c>
      <c r="D4" s="38" t="s">
        <v>96</v>
      </c>
      <c r="E4" s="36">
        <v>14</v>
      </c>
      <c r="F4" s="36">
        <v>2.6</v>
      </c>
      <c r="G4" s="39">
        <v>26</v>
      </c>
    </row>
    <row r="5" spans="1:7" ht="20" x14ac:dyDescent="0.2">
      <c r="A5" s="40" t="s">
        <v>47</v>
      </c>
      <c r="B5" s="41">
        <v>4</v>
      </c>
      <c r="C5" s="41">
        <v>4</v>
      </c>
      <c r="D5" s="38" t="s">
        <v>92</v>
      </c>
      <c r="E5" s="41">
        <v>9</v>
      </c>
      <c r="F5" s="41">
        <v>1.8</v>
      </c>
      <c r="G5" s="37">
        <v>25</v>
      </c>
    </row>
    <row r="6" spans="1:7" ht="20" x14ac:dyDescent="0.2">
      <c r="A6" s="40" t="s">
        <v>38</v>
      </c>
      <c r="B6" s="41">
        <v>5</v>
      </c>
      <c r="C6" s="41">
        <v>4</v>
      </c>
      <c r="D6" s="38" t="s">
        <v>97</v>
      </c>
      <c r="E6" s="41">
        <v>8</v>
      </c>
      <c r="F6" s="41">
        <v>12.6</v>
      </c>
      <c r="G6" s="39">
        <v>24</v>
      </c>
    </row>
    <row r="7" spans="1:7" ht="20" x14ac:dyDescent="0.2">
      <c r="A7" s="40" t="s">
        <v>44</v>
      </c>
      <c r="B7" s="41">
        <v>6</v>
      </c>
      <c r="C7" s="41">
        <v>2</v>
      </c>
      <c r="D7" s="38" t="s">
        <v>98</v>
      </c>
      <c r="E7" s="41">
        <v>6</v>
      </c>
      <c r="F7" s="41">
        <v>9.1999999999999993</v>
      </c>
      <c r="G7" s="37">
        <v>23</v>
      </c>
    </row>
    <row r="8" spans="1:7" ht="20" x14ac:dyDescent="0.2">
      <c r="A8" s="44" t="s">
        <v>13</v>
      </c>
      <c r="B8" s="36">
        <v>7</v>
      </c>
      <c r="C8" s="36">
        <v>3</v>
      </c>
      <c r="D8" s="38" t="s">
        <v>99</v>
      </c>
      <c r="E8" s="36">
        <v>6</v>
      </c>
      <c r="F8" s="36">
        <v>7.8</v>
      </c>
      <c r="G8" s="39">
        <v>22</v>
      </c>
    </row>
    <row r="9" spans="1:7" ht="20" x14ac:dyDescent="0.2">
      <c r="A9" s="45" t="s">
        <v>70</v>
      </c>
      <c r="B9" s="36">
        <v>8</v>
      </c>
      <c r="C9" s="36">
        <v>2</v>
      </c>
      <c r="D9" s="38" t="s">
        <v>100</v>
      </c>
      <c r="E9" s="36">
        <v>4</v>
      </c>
      <c r="F9" s="36">
        <v>12.6</v>
      </c>
      <c r="G9" s="37">
        <v>21</v>
      </c>
    </row>
    <row r="10" spans="1:7" ht="20" x14ac:dyDescent="0.2">
      <c r="A10" s="40" t="s">
        <v>45</v>
      </c>
      <c r="B10" s="41">
        <v>9</v>
      </c>
      <c r="C10" s="41">
        <v>2</v>
      </c>
      <c r="D10" s="38" t="s">
        <v>101</v>
      </c>
      <c r="E10" s="41">
        <v>3</v>
      </c>
      <c r="F10" s="41">
        <v>8</v>
      </c>
      <c r="G10" s="39">
        <v>20</v>
      </c>
    </row>
    <row r="11" spans="1:7" ht="20" x14ac:dyDescent="0.2">
      <c r="A11" s="40" t="s">
        <v>17</v>
      </c>
      <c r="B11" s="41">
        <v>10</v>
      </c>
      <c r="C11" s="41">
        <v>0</v>
      </c>
      <c r="D11" s="41" t="s">
        <v>94</v>
      </c>
      <c r="E11" s="41">
        <v>0</v>
      </c>
      <c r="F11" s="41">
        <v>0</v>
      </c>
      <c r="G11" s="42">
        <v>0</v>
      </c>
    </row>
    <row r="12" spans="1:7" ht="20" x14ac:dyDescent="0.2">
      <c r="A12" s="21" t="s">
        <v>35</v>
      </c>
      <c r="B12" s="36" t="s">
        <v>65</v>
      </c>
      <c r="C12" s="36" t="s">
        <v>65</v>
      </c>
      <c r="D12" s="36" t="s">
        <v>65</v>
      </c>
      <c r="E12" s="36">
        <v>0</v>
      </c>
      <c r="F12" s="36">
        <v>0</v>
      </c>
      <c r="G12" s="37">
        <v>0</v>
      </c>
    </row>
    <row r="13" spans="1:7" ht="20" x14ac:dyDescent="0.2">
      <c r="A13" s="21" t="s">
        <v>3</v>
      </c>
      <c r="B13" s="36" t="s">
        <v>65</v>
      </c>
      <c r="C13" s="36" t="s">
        <v>65</v>
      </c>
      <c r="D13" s="36" t="s">
        <v>65</v>
      </c>
      <c r="E13" s="36">
        <v>0</v>
      </c>
      <c r="F13" s="36">
        <v>0</v>
      </c>
      <c r="G13" s="37">
        <v>0</v>
      </c>
    </row>
    <row r="14" spans="1:7" ht="20" x14ac:dyDescent="0.2">
      <c r="A14" s="21" t="s">
        <v>43</v>
      </c>
      <c r="B14" s="36" t="s">
        <v>65</v>
      </c>
      <c r="C14" s="36" t="s">
        <v>65</v>
      </c>
      <c r="D14" s="36" t="s">
        <v>65</v>
      </c>
      <c r="E14" s="36">
        <v>0</v>
      </c>
      <c r="F14" s="36">
        <v>0</v>
      </c>
      <c r="G14" s="37">
        <v>0</v>
      </c>
    </row>
    <row r="15" spans="1:7" ht="20" x14ac:dyDescent="0.2">
      <c r="A15" s="20" t="s">
        <v>15</v>
      </c>
      <c r="B15" s="36" t="s">
        <v>65</v>
      </c>
      <c r="C15" s="36" t="s">
        <v>65</v>
      </c>
      <c r="D15" s="36" t="s">
        <v>65</v>
      </c>
      <c r="E15" s="36">
        <v>0</v>
      </c>
      <c r="F15" s="36">
        <v>0</v>
      </c>
      <c r="G15" s="37">
        <v>0</v>
      </c>
    </row>
    <row r="16" spans="1:7" ht="20" x14ac:dyDescent="0.2">
      <c r="A16" s="21" t="s">
        <v>40</v>
      </c>
      <c r="B16" s="36" t="s">
        <v>65</v>
      </c>
      <c r="C16" s="36" t="s">
        <v>65</v>
      </c>
      <c r="D16" s="36" t="s">
        <v>65</v>
      </c>
      <c r="E16" s="36">
        <v>0</v>
      </c>
      <c r="F16" s="36">
        <v>0</v>
      </c>
      <c r="G16" s="37">
        <v>0</v>
      </c>
    </row>
    <row r="17" spans="1:7" ht="20" x14ac:dyDescent="0.2">
      <c r="A17" s="21" t="s">
        <v>42</v>
      </c>
      <c r="B17" s="36" t="s">
        <v>65</v>
      </c>
      <c r="C17" s="36" t="s">
        <v>65</v>
      </c>
      <c r="D17" s="36" t="s">
        <v>65</v>
      </c>
      <c r="E17" s="36">
        <v>0</v>
      </c>
      <c r="F17" s="36">
        <v>0</v>
      </c>
      <c r="G17" s="37">
        <v>0</v>
      </c>
    </row>
    <row r="18" spans="1:7" ht="20" x14ac:dyDescent="0.2">
      <c r="A18" s="21" t="s">
        <v>81</v>
      </c>
      <c r="B18" s="36" t="s">
        <v>65</v>
      </c>
      <c r="C18" s="36" t="s">
        <v>65</v>
      </c>
      <c r="D18" s="36" t="s">
        <v>65</v>
      </c>
      <c r="E18" s="36">
        <v>0</v>
      </c>
      <c r="F18" s="36">
        <v>0</v>
      </c>
      <c r="G18" s="37">
        <v>0</v>
      </c>
    </row>
    <row r="19" spans="1:7" ht="20" x14ac:dyDescent="0.2">
      <c r="A19" s="22" t="s">
        <v>7</v>
      </c>
      <c r="B19" s="38" t="s">
        <v>65</v>
      </c>
      <c r="C19" s="38" t="s">
        <v>65</v>
      </c>
      <c r="D19" s="38" t="s">
        <v>65</v>
      </c>
      <c r="E19" s="38">
        <v>0</v>
      </c>
      <c r="F19" s="38">
        <v>0</v>
      </c>
      <c r="G19" s="39">
        <v>0</v>
      </c>
    </row>
  </sheetData>
  <phoneticPr fontId="5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FB5C8-450A-D748-9922-1E2C70076FE8}">
  <dimension ref="A1:G19"/>
  <sheetViews>
    <sheetView workbookViewId="0">
      <selection sqref="A1:G19"/>
    </sheetView>
  </sheetViews>
  <sheetFormatPr baseColWidth="10" defaultRowHeight="16" x14ac:dyDescent="0.2"/>
  <cols>
    <col min="1" max="1" width="19.6640625" bestFit="1" customWidth="1"/>
    <col min="2" max="3" width="15.5" bestFit="1" customWidth="1"/>
    <col min="4" max="4" width="23.83203125" customWidth="1"/>
    <col min="5" max="5" width="13.5" customWidth="1"/>
    <col min="6" max="6" width="13.33203125" customWidth="1"/>
    <col min="7" max="7" width="13.5" customWidth="1"/>
  </cols>
  <sheetData>
    <row r="1" spans="1:7" ht="20" x14ac:dyDescent="0.2">
      <c r="A1" s="23" t="s">
        <v>0</v>
      </c>
      <c r="B1" s="24" t="s">
        <v>22</v>
      </c>
      <c r="C1" s="24" t="s">
        <v>23</v>
      </c>
      <c r="D1" s="24" t="s">
        <v>24</v>
      </c>
      <c r="E1" s="24" t="s">
        <v>26</v>
      </c>
      <c r="F1" s="24" t="s">
        <v>27</v>
      </c>
      <c r="G1" s="25" t="s">
        <v>25</v>
      </c>
    </row>
    <row r="2" spans="1:7" ht="20" x14ac:dyDescent="0.2">
      <c r="A2" s="44" t="s">
        <v>41</v>
      </c>
      <c r="B2" s="36">
        <v>1</v>
      </c>
      <c r="C2" s="36">
        <v>5</v>
      </c>
      <c r="D2" s="36" t="s">
        <v>102</v>
      </c>
      <c r="E2" s="36">
        <v>13</v>
      </c>
      <c r="F2" s="36">
        <v>15.4</v>
      </c>
      <c r="G2" s="37">
        <v>28</v>
      </c>
    </row>
    <row r="3" spans="1:7" ht="20" x14ac:dyDescent="0.2">
      <c r="A3" s="44" t="s">
        <v>44</v>
      </c>
      <c r="B3" s="36">
        <v>2</v>
      </c>
      <c r="C3" s="36">
        <v>5</v>
      </c>
      <c r="D3" s="36" t="s">
        <v>103</v>
      </c>
      <c r="E3" s="36">
        <v>8</v>
      </c>
      <c r="F3" s="36">
        <v>15.4</v>
      </c>
      <c r="G3" s="37">
        <v>27</v>
      </c>
    </row>
    <row r="4" spans="1:7" ht="20" x14ac:dyDescent="0.2">
      <c r="A4" s="45" t="s">
        <v>70</v>
      </c>
      <c r="B4" s="36">
        <v>3</v>
      </c>
      <c r="C4" s="36">
        <v>5</v>
      </c>
      <c r="D4" s="36" t="s">
        <v>104</v>
      </c>
      <c r="E4" s="36">
        <v>7</v>
      </c>
      <c r="F4" s="36">
        <v>13.6</v>
      </c>
      <c r="G4" s="37">
        <v>26</v>
      </c>
    </row>
    <row r="5" spans="1:7" ht="20" x14ac:dyDescent="0.2">
      <c r="A5" s="40" t="s">
        <v>47</v>
      </c>
      <c r="B5" s="41">
        <v>4</v>
      </c>
      <c r="C5" s="41">
        <v>5</v>
      </c>
      <c r="D5" s="36" t="s">
        <v>105</v>
      </c>
      <c r="E5" s="41">
        <v>7</v>
      </c>
      <c r="F5" s="41">
        <v>10.6</v>
      </c>
      <c r="G5" s="37">
        <v>25</v>
      </c>
    </row>
    <row r="6" spans="1:7" ht="20" x14ac:dyDescent="0.2">
      <c r="A6" s="40" t="s">
        <v>17</v>
      </c>
      <c r="B6" s="41">
        <v>5</v>
      </c>
      <c r="C6" s="41">
        <v>5</v>
      </c>
      <c r="D6" s="36" t="s">
        <v>106</v>
      </c>
      <c r="E6" s="41">
        <v>7</v>
      </c>
      <c r="F6" s="41">
        <v>3.8</v>
      </c>
      <c r="G6" s="37">
        <v>24</v>
      </c>
    </row>
    <row r="7" spans="1:7" ht="20" x14ac:dyDescent="0.2">
      <c r="A7" s="40" t="s">
        <v>45</v>
      </c>
      <c r="B7" s="41">
        <v>6</v>
      </c>
      <c r="C7" s="41">
        <v>5</v>
      </c>
      <c r="D7" s="36" t="s">
        <v>107</v>
      </c>
      <c r="E7" s="41">
        <v>5</v>
      </c>
      <c r="F7" s="41">
        <v>12.8</v>
      </c>
      <c r="G7" s="37">
        <v>23</v>
      </c>
    </row>
    <row r="8" spans="1:7" ht="20" x14ac:dyDescent="0.2">
      <c r="A8" s="44" t="s">
        <v>46</v>
      </c>
      <c r="B8" s="36">
        <v>7</v>
      </c>
      <c r="C8" s="36">
        <v>3</v>
      </c>
      <c r="D8" s="36" t="s">
        <v>108</v>
      </c>
      <c r="E8" s="36">
        <v>5</v>
      </c>
      <c r="F8" s="36">
        <v>7.2</v>
      </c>
      <c r="G8" s="37">
        <v>22</v>
      </c>
    </row>
    <row r="9" spans="1:7" ht="20" x14ac:dyDescent="0.2">
      <c r="A9" s="45" t="s">
        <v>38</v>
      </c>
      <c r="B9" s="36" t="s">
        <v>65</v>
      </c>
      <c r="C9" s="36" t="s">
        <v>65</v>
      </c>
      <c r="D9" s="36" t="s">
        <v>65</v>
      </c>
      <c r="E9" s="36">
        <v>0</v>
      </c>
      <c r="F9" s="36">
        <v>0</v>
      </c>
      <c r="G9" s="37">
        <v>0</v>
      </c>
    </row>
    <row r="10" spans="1:7" ht="20" x14ac:dyDescent="0.2">
      <c r="A10" s="40" t="s">
        <v>10</v>
      </c>
      <c r="B10" s="46" t="s">
        <v>65</v>
      </c>
      <c r="C10" s="47" t="s">
        <v>65</v>
      </c>
      <c r="D10" s="47" t="s">
        <v>65</v>
      </c>
      <c r="E10" s="47">
        <v>0</v>
      </c>
      <c r="F10" s="47">
        <v>0</v>
      </c>
      <c r="G10" s="48">
        <v>0</v>
      </c>
    </row>
    <row r="11" spans="1:7" ht="20" x14ac:dyDescent="0.2">
      <c r="A11" s="40" t="s">
        <v>13</v>
      </c>
      <c r="B11" s="46" t="s">
        <v>65</v>
      </c>
      <c r="C11" s="47" t="s">
        <v>65</v>
      </c>
      <c r="D11" s="47" t="s">
        <v>65</v>
      </c>
      <c r="E11" s="47">
        <v>0</v>
      </c>
      <c r="F11" s="47">
        <v>0</v>
      </c>
      <c r="G11" s="48">
        <v>0</v>
      </c>
    </row>
    <row r="12" spans="1:7" ht="20" x14ac:dyDescent="0.2">
      <c r="A12" s="21" t="s">
        <v>35</v>
      </c>
      <c r="B12" s="36" t="s">
        <v>65</v>
      </c>
      <c r="C12" s="36" t="s">
        <v>65</v>
      </c>
      <c r="D12" s="36" t="s">
        <v>65</v>
      </c>
      <c r="E12" s="36">
        <v>0</v>
      </c>
      <c r="F12" s="36">
        <v>0</v>
      </c>
      <c r="G12" s="37">
        <v>0</v>
      </c>
    </row>
    <row r="13" spans="1:7" ht="20" x14ac:dyDescent="0.2">
      <c r="A13" s="21" t="s">
        <v>3</v>
      </c>
      <c r="B13" s="36" t="s">
        <v>65</v>
      </c>
      <c r="C13" s="36" t="s">
        <v>65</v>
      </c>
      <c r="D13" s="36" t="s">
        <v>65</v>
      </c>
      <c r="E13" s="36">
        <v>0</v>
      </c>
      <c r="F13" s="36">
        <v>0</v>
      </c>
      <c r="G13" s="37">
        <v>0</v>
      </c>
    </row>
    <row r="14" spans="1:7" ht="20" x14ac:dyDescent="0.2">
      <c r="A14" s="21" t="s">
        <v>43</v>
      </c>
      <c r="B14" s="36" t="s">
        <v>65</v>
      </c>
      <c r="C14" s="36" t="s">
        <v>65</v>
      </c>
      <c r="D14" s="36" t="s">
        <v>65</v>
      </c>
      <c r="E14" s="36">
        <v>0</v>
      </c>
      <c r="F14" s="36">
        <v>0</v>
      </c>
      <c r="G14" s="37">
        <v>0</v>
      </c>
    </row>
    <row r="15" spans="1:7" ht="20" x14ac:dyDescent="0.2">
      <c r="A15" s="20" t="s">
        <v>15</v>
      </c>
      <c r="B15" s="36" t="s">
        <v>65</v>
      </c>
      <c r="C15" s="36" t="s">
        <v>65</v>
      </c>
      <c r="D15" s="36" t="s">
        <v>65</v>
      </c>
      <c r="E15" s="36">
        <v>0</v>
      </c>
      <c r="F15" s="36">
        <v>0</v>
      </c>
      <c r="G15" s="37">
        <v>0</v>
      </c>
    </row>
    <row r="16" spans="1:7" ht="20" x14ac:dyDescent="0.2">
      <c r="A16" s="21" t="s">
        <v>40</v>
      </c>
      <c r="B16" s="36" t="s">
        <v>65</v>
      </c>
      <c r="C16" s="36" t="s">
        <v>65</v>
      </c>
      <c r="D16" s="36" t="s">
        <v>65</v>
      </c>
      <c r="E16" s="36">
        <v>0</v>
      </c>
      <c r="F16" s="36">
        <v>0</v>
      </c>
      <c r="G16" s="37">
        <v>0</v>
      </c>
    </row>
    <row r="17" spans="1:7" ht="20" x14ac:dyDescent="0.2">
      <c r="A17" s="21" t="s">
        <v>42</v>
      </c>
      <c r="B17" s="36" t="s">
        <v>65</v>
      </c>
      <c r="C17" s="36" t="s">
        <v>65</v>
      </c>
      <c r="D17" s="36" t="s">
        <v>65</v>
      </c>
      <c r="E17" s="36">
        <v>0</v>
      </c>
      <c r="F17" s="36">
        <v>0</v>
      </c>
      <c r="G17" s="37">
        <v>0</v>
      </c>
    </row>
    <row r="18" spans="1:7" ht="20" x14ac:dyDescent="0.2">
      <c r="A18" s="21" t="s">
        <v>81</v>
      </c>
      <c r="B18" s="36" t="s">
        <v>65</v>
      </c>
      <c r="C18" s="36" t="s">
        <v>65</v>
      </c>
      <c r="D18" s="36" t="s">
        <v>65</v>
      </c>
      <c r="E18" s="36">
        <v>0</v>
      </c>
      <c r="F18" s="36">
        <v>0</v>
      </c>
      <c r="G18" s="37">
        <v>0</v>
      </c>
    </row>
    <row r="19" spans="1:7" ht="20" x14ac:dyDescent="0.2">
      <c r="A19" s="22" t="s">
        <v>7</v>
      </c>
      <c r="B19" s="38" t="s">
        <v>65</v>
      </c>
      <c r="C19" s="38" t="s">
        <v>65</v>
      </c>
      <c r="D19" s="38" t="s">
        <v>65</v>
      </c>
      <c r="E19" s="38">
        <v>0</v>
      </c>
      <c r="F19" s="38">
        <v>0</v>
      </c>
      <c r="G19" s="39">
        <v>0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8059F-15A4-AC4D-A63F-FC650AFC4934}">
  <dimension ref="A1:G19"/>
  <sheetViews>
    <sheetView tabSelected="1" workbookViewId="0">
      <selection activeCell="A5" sqref="A5"/>
    </sheetView>
  </sheetViews>
  <sheetFormatPr baseColWidth="10" defaultRowHeight="16" x14ac:dyDescent="0.2"/>
  <cols>
    <col min="1" max="1" width="19.6640625" bestFit="1" customWidth="1"/>
    <col min="2" max="3" width="15.5" bestFit="1" customWidth="1"/>
    <col min="4" max="4" width="24.6640625" bestFit="1" customWidth="1"/>
    <col min="5" max="5" width="14" bestFit="1" customWidth="1"/>
    <col min="6" max="6" width="13.83203125" bestFit="1" customWidth="1"/>
    <col min="7" max="7" width="14" bestFit="1" customWidth="1"/>
  </cols>
  <sheetData>
    <row r="1" spans="1:7" ht="20" x14ac:dyDescent="0.2">
      <c r="A1" s="23" t="s">
        <v>0</v>
      </c>
      <c r="B1" s="24" t="s">
        <v>22</v>
      </c>
      <c r="C1" s="24" t="s">
        <v>23</v>
      </c>
      <c r="D1" s="24" t="s">
        <v>24</v>
      </c>
      <c r="E1" s="24" t="s">
        <v>26</v>
      </c>
      <c r="F1" s="24" t="s">
        <v>27</v>
      </c>
      <c r="G1" s="25" t="s">
        <v>25</v>
      </c>
    </row>
    <row r="2" spans="1:7" ht="20" x14ac:dyDescent="0.2">
      <c r="A2" s="44" t="s">
        <v>45</v>
      </c>
      <c r="B2" s="36">
        <v>1</v>
      </c>
      <c r="C2" s="36">
        <v>5</v>
      </c>
      <c r="D2" s="36" t="s">
        <v>112</v>
      </c>
      <c r="E2" s="36">
        <v>10</v>
      </c>
      <c r="F2" s="36">
        <v>13.8</v>
      </c>
      <c r="G2" s="37">
        <v>31</v>
      </c>
    </row>
    <row r="3" spans="1:7" ht="20" x14ac:dyDescent="0.2">
      <c r="A3" s="44" t="s">
        <v>41</v>
      </c>
      <c r="B3" s="36">
        <v>2</v>
      </c>
      <c r="C3" s="36">
        <v>5</v>
      </c>
      <c r="D3" s="36" t="s">
        <v>113</v>
      </c>
      <c r="E3" s="36">
        <v>10</v>
      </c>
      <c r="F3" s="36">
        <v>2.4</v>
      </c>
      <c r="G3" s="37">
        <v>30</v>
      </c>
    </row>
    <row r="4" spans="1:7" ht="20" x14ac:dyDescent="0.2">
      <c r="A4" s="45" t="s">
        <v>10</v>
      </c>
      <c r="B4" s="36">
        <v>3</v>
      </c>
      <c r="C4" s="36">
        <v>5</v>
      </c>
      <c r="D4" s="36" t="s">
        <v>114</v>
      </c>
      <c r="E4" s="36">
        <v>9</v>
      </c>
      <c r="F4" s="36">
        <v>11.2</v>
      </c>
      <c r="G4" s="37">
        <v>29</v>
      </c>
    </row>
    <row r="5" spans="1:7" ht="20" x14ac:dyDescent="0.2">
      <c r="A5" s="40" t="s">
        <v>47</v>
      </c>
      <c r="B5" s="41">
        <v>4</v>
      </c>
      <c r="C5" s="41">
        <v>5</v>
      </c>
      <c r="D5" s="36" t="s">
        <v>103</v>
      </c>
      <c r="E5" s="41">
        <v>8</v>
      </c>
      <c r="F5" s="41">
        <v>15.4</v>
      </c>
      <c r="G5" s="37">
        <v>28</v>
      </c>
    </row>
    <row r="6" spans="1:7" ht="20" x14ac:dyDescent="0.2">
      <c r="A6" s="40" t="s">
        <v>46</v>
      </c>
      <c r="B6" s="41">
        <v>5</v>
      </c>
      <c r="C6" s="41">
        <v>5</v>
      </c>
      <c r="D6" s="36" t="s">
        <v>115</v>
      </c>
      <c r="E6" s="41">
        <v>8</v>
      </c>
      <c r="F6" s="41">
        <v>13.2</v>
      </c>
      <c r="G6" s="37">
        <v>27</v>
      </c>
    </row>
    <row r="7" spans="1:7" ht="20" x14ac:dyDescent="0.2">
      <c r="A7" s="40" t="s">
        <v>38</v>
      </c>
      <c r="B7" s="41">
        <v>6</v>
      </c>
      <c r="C7" s="41">
        <v>5</v>
      </c>
      <c r="D7" s="36" t="s">
        <v>116</v>
      </c>
      <c r="E7" s="41">
        <v>7</v>
      </c>
      <c r="F7" s="41">
        <v>11.8</v>
      </c>
      <c r="G7" s="37">
        <v>26</v>
      </c>
    </row>
    <row r="8" spans="1:7" ht="20" x14ac:dyDescent="0.2">
      <c r="A8" s="44" t="s">
        <v>44</v>
      </c>
      <c r="B8" s="36">
        <v>7</v>
      </c>
      <c r="C8" s="36">
        <v>5</v>
      </c>
      <c r="D8" s="36" t="s">
        <v>117</v>
      </c>
      <c r="E8" s="36">
        <v>7</v>
      </c>
      <c r="F8" s="36">
        <v>10.4</v>
      </c>
      <c r="G8" s="37">
        <v>25</v>
      </c>
    </row>
    <row r="9" spans="1:7" ht="20" x14ac:dyDescent="0.2">
      <c r="A9" s="45" t="s">
        <v>70</v>
      </c>
      <c r="B9" s="36">
        <v>8</v>
      </c>
      <c r="C9" s="36">
        <v>5</v>
      </c>
      <c r="D9" s="36" t="s">
        <v>118</v>
      </c>
      <c r="E9" s="36">
        <v>7</v>
      </c>
      <c r="F9" s="36">
        <v>6.2</v>
      </c>
      <c r="G9" s="37">
        <v>24</v>
      </c>
    </row>
    <row r="10" spans="1:7" ht="20" x14ac:dyDescent="0.2">
      <c r="A10" s="40" t="s">
        <v>17</v>
      </c>
      <c r="B10" s="46">
        <v>9</v>
      </c>
      <c r="C10" s="47">
        <v>5</v>
      </c>
      <c r="D10" s="36" t="s">
        <v>119</v>
      </c>
      <c r="E10" s="47">
        <v>6</v>
      </c>
      <c r="F10" s="47">
        <v>11.2</v>
      </c>
      <c r="G10" s="37">
        <v>23</v>
      </c>
    </row>
    <row r="11" spans="1:7" ht="20" x14ac:dyDescent="0.2">
      <c r="A11" s="40" t="s">
        <v>13</v>
      </c>
      <c r="B11" s="46" t="s">
        <v>65</v>
      </c>
      <c r="C11" s="47" t="s">
        <v>65</v>
      </c>
      <c r="D11" s="47" t="s">
        <v>65</v>
      </c>
      <c r="E11" s="47">
        <v>0</v>
      </c>
      <c r="F11" s="47">
        <v>0</v>
      </c>
      <c r="G11" s="48">
        <v>0</v>
      </c>
    </row>
    <row r="12" spans="1:7" ht="20" x14ac:dyDescent="0.2">
      <c r="A12" s="21" t="s">
        <v>35</v>
      </c>
      <c r="B12" s="36" t="s">
        <v>65</v>
      </c>
      <c r="C12" s="36" t="s">
        <v>65</v>
      </c>
      <c r="D12" s="36" t="s">
        <v>65</v>
      </c>
      <c r="E12" s="36">
        <v>0</v>
      </c>
      <c r="F12" s="36">
        <v>0</v>
      </c>
      <c r="G12" s="37">
        <v>0</v>
      </c>
    </row>
    <row r="13" spans="1:7" ht="20" x14ac:dyDescent="0.2">
      <c r="A13" s="21" t="s">
        <v>3</v>
      </c>
      <c r="B13" s="36" t="s">
        <v>65</v>
      </c>
      <c r="C13" s="36" t="s">
        <v>65</v>
      </c>
      <c r="D13" s="36" t="s">
        <v>65</v>
      </c>
      <c r="E13" s="36">
        <v>0</v>
      </c>
      <c r="F13" s="36">
        <v>0</v>
      </c>
      <c r="G13" s="37">
        <v>0</v>
      </c>
    </row>
    <row r="14" spans="1:7" ht="20" x14ac:dyDescent="0.2">
      <c r="A14" s="21" t="s">
        <v>43</v>
      </c>
      <c r="B14" s="36" t="s">
        <v>65</v>
      </c>
      <c r="C14" s="36" t="s">
        <v>65</v>
      </c>
      <c r="D14" s="36" t="s">
        <v>65</v>
      </c>
      <c r="E14" s="36">
        <v>0</v>
      </c>
      <c r="F14" s="36">
        <v>0</v>
      </c>
      <c r="G14" s="37">
        <v>0</v>
      </c>
    </row>
    <row r="15" spans="1:7" ht="20" x14ac:dyDescent="0.2">
      <c r="A15" s="20" t="s">
        <v>15</v>
      </c>
      <c r="B15" s="36" t="s">
        <v>65</v>
      </c>
      <c r="C15" s="36" t="s">
        <v>65</v>
      </c>
      <c r="D15" s="36" t="s">
        <v>65</v>
      </c>
      <c r="E15" s="36">
        <v>0</v>
      </c>
      <c r="F15" s="36">
        <v>0</v>
      </c>
      <c r="G15" s="37">
        <v>0</v>
      </c>
    </row>
    <row r="16" spans="1:7" ht="20" x14ac:dyDescent="0.2">
      <c r="A16" s="21" t="s">
        <v>40</v>
      </c>
      <c r="B16" s="36" t="s">
        <v>65</v>
      </c>
      <c r="C16" s="36" t="s">
        <v>65</v>
      </c>
      <c r="D16" s="36" t="s">
        <v>65</v>
      </c>
      <c r="E16" s="36">
        <v>0</v>
      </c>
      <c r="F16" s="36">
        <v>0</v>
      </c>
      <c r="G16" s="37">
        <v>0</v>
      </c>
    </row>
    <row r="17" spans="1:7" ht="20" x14ac:dyDescent="0.2">
      <c r="A17" s="21" t="s">
        <v>42</v>
      </c>
      <c r="B17" s="36" t="s">
        <v>65</v>
      </c>
      <c r="C17" s="36" t="s">
        <v>65</v>
      </c>
      <c r="D17" s="36" t="s">
        <v>65</v>
      </c>
      <c r="E17" s="36">
        <v>0</v>
      </c>
      <c r="F17" s="36">
        <v>0</v>
      </c>
      <c r="G17" s="37">
        <v>0</v>
      </c>
    </row>
    <row r="18" spans="1:7" ht="20" x14ac:dyDescent="0.2">
      <c r="A18" s="21" t="s">
        <v>81</v>
      </c>
      <c r="B18" s="36" t="s">
        <v>65</v>
      </c>
      <c r="C18" s="36" t="s">
        <v>65</v>
      </c>
      <c r="D18" s="36" t="s">
        <v>65</v>
      </c>
      <c r="E18" s="36">
        <v>0</v>
      </c>
      <c r="F18" s="36">
        <v>0</v>
      </c>
      <c r="G18" s="37">
        <v>0</v>
      </c>
    </row>
    <row r="19" spans="1:7" ht="20" x14ac:dyDescent="0.2">
      <c r="A19" s="22" t="s">
        <v>7</v>
      </c>
      <c r="B19" s="38" t="s">
        <v>65</v>
      </c>
      <c r="C19" s="38" t="s">
        <v>65</v>
      </c>
      <c r="D19" s="38" t="s">
        <v>65</v>
      </c>
      <c r="E19" s="38">
        <v>0</v>
      </c>
      <c r="F19" s="38">
        <v>0</v>
      </c>
      <c r="G19" s="39">
        <v>0</v>
      </c>
    </row>
  </sheetData>
  <phoneticPr fontId="5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2023 Season</vt:lpstr>
      <vt:lpstr>Congamond</vt:lpstr>
      <vt:lpstr>Onota</vt:lpstr>
      <vt:lpstr>Pontoosuc</vt:lpstr>
      <vt:lpstr>Lake George</vt:lpstr>
      <vt:lpstr>Lake Champlain</vt:lpstr>
      <vt:lpstr>Buel</vt:lpstr>
      <vt:lpstr>Championship(Saratoga)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Brian E Barde</dc:creator>
  <cp:keywords/>
  <dc:description/>
  <cp:lastModifiedBy>Brian Barde</cp:lastModifiedBy>
  <dcterms:created xsi:type="dcterms:W3CDTF">2023-05-07T00:23:42Z</dcterms:created>
  <dcterms:modified xsi:type="dcterms:W3CDTF">2023-09-25T01:35:31Z</dcterms:modified>
  <cp:category/>
</cp:coreProperties>
</file>